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omments2.xml" ContentType="application/vnd.openxmlformats-officedocument.spreadsheetml.comments+xml"/>
  <Override PartName="/xl/charts/chart7.xml" ContentType="application/vnd.openxmlformats-officedocument.drawingml.chart+xml"/>
  <Override PartName="/xl/drawings/drawing9.xml" ContentType="application/vnd.openxmlformats-officedocument.drawingml.chartshapes+xml"/>
  <Override PartName="/xl/charts/chart8.xml" ContentType="application/vnd.openxmlformats-officedocument.drawingml.chart+xml"/>
  <Override PartName="/xl/drawings/drawing10.xml" ContentType="application/vnd.openxmlformats-officedocument.drawingml.chartshapes+xml"/>
  <Override PartName="/xl/charts/chart9.xml" ContentType="application/vnd.openxmlformats-officedocument.drawingml.chart+xml"/>
  <Override PartName="/xl/drawings/drawing11.xml" ContentType="application/vnd.openxmlformats-officedocument.drawingml.chartshapes+xml"/>
  <Override PartName="/xl/charts/chart10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embeddings/oleObject9.bin" ContentType="application/vnd.openxmlformats-officedocument.oleObject"/>
  <Override PartName="/xl/comments3.xml" ContentType="application/vnd.openxmlformats-officedocument.spreadsheetml.comments+xml"/>
  <Override PartName="/xl/charts/chart11.xml" ContentType="application/vnd.openxmlformats-officedocument.drawingml.chart+xml"/>
  <Override PartName="/xl/drawings/drawing14.xml" ContentType="application/vnd.openxmlformats-officedocument.drawingml.chartshapes+xml"/>
  <Override PartName="/xl/charts/chart12.xml" ContentType="application/vnd.openxmlformats-officedocument.drawingml.chart+xml"/>
  <Override PartName="/xl/drawings/drawing15.xml" ContentType="application/vnd.openxmlformats-officedocument.drawingml.chartshapes+xml"/>
  <Override PartName="/xl/charts/chart13.xml" ContentType="application/vnd.openxmlformats-officedocument.drawingml.chart+xml"/>
  <Override PartName="/xl/drawings/drawing16.xml" ContentType="application/vnd.openxmlformats-officedocument.drawingml.chartshapes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charts/chart15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7.xml" ContentType="application/vnd.openxmlformats-officedocument.drawingml.chart+xml"/>
  <Override PartName="/xl/drawings/drawing2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olab200\Dropbox\2017\COCOChemSepで学ぶ化学工学\fsd&amp;xls\"/>
    </mc:Choice>
  </mc:AlternateContent>
  <bookViews>
    <workbookView xWindow="1308" yWindow="60" windowWidth="24132" windowHeight="13008" activeTab="1"/>
  </bookViews>
  <sheets>
    <sheet name="例題6平衡定数アンモニア" sheetId="1" r:id="rId1"/>
    <sheet name="メタン水蒸気改質平衡定数" sheetId="6" r:id="rId2"/>
    <sheet name="メタノール合成反応平衡定数" sheetId="5" r:id="rId3"/>
    <sheet name="平衡定数水分解" sheetId="3" r:id="rId4"/>
    <sheet name="平衡定数プロパン分解 " sheetId="4" r:id="rId5"/>
  </sheets>
  <definedNames>
    <definedName name="solver_adj" localSheetId="2" hidden="1">メタノール合成反応平衡定数!$C$22</definedName>
    <definedName name="solver_adj" localSheetId="1" hidden="1">メタン水蒸気改質平衡定数!$C$22</definedName>
    <definedName name="solver_adj" localSheetId="0" hidden="1">例題6平衡定数アンモニア!$C$22</definedName>
    <definedName name="solver_cvg" localSheetId="2" hidden="1">0.0001</definedName>
    <definedName name="solver_cvg" localSheetId="1" hidden="1">0.0001</definedName>
    <definedName name="solver_cvg" localSheetId="0" hidden="1">0.0001</definedName>
    <definedName name="solver_drv" localSheetId="2" hidden="1">1</definedName>
    <definedName name="solver_drv" localSheetId="1" hidden="1">1</definedName>
    <definedName name="solver_drv" localSheetId="0" hidden="1">1</definedName>
    <definedName name="solver_eng" localSheetId="2" hidden="1">1</definedName>
    <definedName name="solver_eng" localSheetId="1" hidden="1">1</definedName>
    <definedName name="solver_eng" localSheetId="0" hidden="1">1</definedName>
    <definedName name="solver_est" localSheetId="2" hidden="1">1</definedName>
    <definedName name="solver_est" localSheetId="1" hidden="1">1</definedName>
    <definedName name="solver_est" localSheetId="0" hidden="1">1</definedName>
    <definedName name="solver_itr" localSheetId="2" hidden="1">100</definedName>
    <definedName name="solver_itr" localSheetId="1" hidden="1">2147483647</definedName>
    <definedName name="solver_itr" localSheetId="0" hidden="1">100</definedName>
    <definedName name="solver_lin" localSheetId="2" hidden="1">2</definedName>
    <definedName name="solver_lin" localSheetId="0" hidden="1">2</definedName>
    <definedName name="solver_mip" localSheetId="2" hidden="1">2147483647</definedName>
    <definedName name="solver_mip" localSheetId="1" hidden="1">2147483647</definedName>
    <definedName name="solver_mip" localSheetId="0" hidden="1">2147483647</definedName>
    <definedName name="solver_mni" localSheetId="2" hidden="1">30</definedName>
    <definedName name="solver_mni" localSheetId="1" hidden="1">30</definedName>
    <definedName name="solver_mni" localSheetId="0" hidden="1">30</definedName>
    <definedName name="solver_mrt" localSheetId="2" hidden="1">0.075</definedName>
    <definedName name="solver_mrt" localSheetId="1" hidden="1">0.075</definedName>
    <definedName name="solver_mrt" localSheetId="0" hidden="1">0.075</definedName>
    <definedName name="solver_msl" localSheetId="2" hidden="1">2</definedName>
    <definedName name="solver_msl" localSheetId="1" hidden="1">2</definedName>
    <definedName name="solver_msl" localSheetId="0" hidden="1">2</definedName>
    <definedName name="solver_neg" localSheetId="2" hidden="1">2</definedName>
    <definedName name="solver_neg" localSheetId="1" hidden="1">1</definedName>
    <definedName name="solver_neg" localSheetId="0" hidden="1">2</definedName>
    <definedName name="solver_nod" localSheetId="2" hidden="1">2147483647</definedName>
    <definedName name="solver_nod" localSheetId="1" hidden="1">2147483647</definedName>
    <definedName name="solver_nod" localSheetId="0" hidden="1">2147483647</definedName>
    <definedName name="solver_num" localSheetId="2" hidden="1">0</definedName>
    <definedName name="solver_num" localSheetId="1" hidden="1">0</definedName>
    <definedName name="solver_num" localSheetId="0" hidden="1">0</definedName>
    <definedName name="solver_nwt" localSheetId="2" hidden="1">1</definedName>
    <definedName name="solver_nwt" localSheetId="1" hidden="1">1</definedName>
    <definedName name="solver_nwt" localSheetId="0" hidden="1">1</definedName>
    <definedName name="solver_opt" localSheetId="2" hidden="1">メタノール合成反応平衡定数!$C$28</definedName>
    <definedName name="solver_opt" localSheetId="1" hidden="1">メタン水蒸気改質平衡定数!$C$28</definedName>
    <definedName name="solver_opt" localSheetId="0" hidden="1">例題6平衡定数アンモニア!$C$28</definedName>
    <definedName name="solver_pre" localSheetId="2" hidden="1">0.000001</definedName>
    <definedName name="solver_pre" localSheetId="1" hidden="1">0.000001</definedName>
    <definedName name="solver_pre" localSheetId="0" hidden="1">0.000001</definedName>
    <definedName name="solver_rbv" localSheetId="2" hidden="1">1</definedName>
    <definedName name="solver_rbv" localSheetId="1" hidden="1">1</definedName>
    <definedName name="solver_rbv" localSheetId="0" hidden="1">1</definedName>
    <definedName name="solver_rlx" localSheetId="2" hidden="1">1</definedName>
    <definedName name="solver_rlx" localSheetId="1" hidden="1">2</definedName>
    <definedName name="solver_rlx" localSheetId="0" hidden="1">1</definedName>
    <definedName name="solver_rsd" localSheetId="2" hidden="1">0</definedName>
    <definedName name="solver_rsd" localSheetId="1" hidden="1">0</definedName>
    <definedName name="solver_rsd" localSheetId="0" hidden="1">0</definedName>
    <definedName name="solver_scl" localSheetId="2" hidden="1">2</definedName>
    <definedName name="solver_scl" localSheetId="1" hidden="1">1</definedName>
    <definedName name="solver_scl" localSheetId="0" hidden="1">2</definedName>
    <definedName name="solver_sho" localSheetId="2" hidden="1">2</definedName>
    <definedName name="solver_sho" localSheetId="1" hidden="1">2</definedName>
    <definedName name="solver_sho" localSheetId="0" hidden="1">2</definedName>
    <definedName name="solver_ssz" localSheetId="2" hidden="1">100</definedName>
    <definedName name="solver_ssz" localSheetId="1" hidden="1">100</definedName>
    <definedName name="solver_ssz" localSheetId="0" hidden="1">100</definedName>
    <definedName name="solver_tim" localSheetId="2" hidden="1">100</definedName>
    <definedName name="solver_tim" localSheetId="1" hidden="1">2147483647</definedName>
    <definedName name="solver_tim" localSheetId="0" hidden="1">100</definedName>
    <definedName name="solver_tol" localSheetId="2" hidden="1">0.05</definedName>
    <definedName name="solver_tol" localSheetId="1" hidden="1">0.01</definedName>
    <definedName name="solver_tol" localSheetId="0" hidden="1">0.05</definedName>
    <definedName name="solver_typ" localSheetId="2" hidden="1">3</definedName>
    <definedName name="solver_typ" localSheetId="1" hidden="1">3</definedName>
    <definedName name="solver_typ" localSheetId="0" hidden="1">3</definedName>
    <definedName name="solver_val" localSheetId="2" hidden="1">0</definedName>
    <definedName name="solver_val" localSheetId="1" hidden="1">0</definedName>
    <definedName name="solver_val" localSheetId="0" hidden="1">0</definedName>
    <definedName name="solver_ver" localSheetId="2" hidden="1">3</definedName>
    <definedName name="solver_ver" localSheetId="1" hidden="1">3</definedName>
    <definedName name="solver_ver" localSheetId="0" hidden="1">3</definedName>
  </definedNames>
  <calcPr calcId="162913"/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2" i="1"/>
  <c r="AC6" i="1" l="1"/>
  <c r="AC7" i="1" s="1"/>
  <c r="AC5" i="1"/>
  <c r="E39" i="6" l="1"/>
  <c r="G23" i="6"/>
  <c r="F23" i="6"/>
  <c r="C23" i="6" s="1"/>
  <c r="E23" i="6"/>
  <c r="E24" i="6" s="1"/>
  <c r="E26" i="6" s="1"/>
  <c r="D23" i="6"/>
  <c r="D24" i="6" s="1"/>
  <c r="D26" i="6" s="1"/>
  <c r="V11" i="6"/>
  <c r="U11" i="6"/>
  <c r="Q11" i="6"/>
  <c r="V10" i="6"/>
  <c r="U10" i="6"/>
  <c r="Q10" i="6"/>
  <c r="C10" i="6"/>
  <c r="V9" i="6"/>
  <c r="U9" i="6"/>
  <c r="Q9" i="6"/>
  <c r="C9" i="6"/>
  <c r="V8" i="6"/>
  <c r="U8" i="6"/>
  <c r="Q8" i="6"/>
  <c r="C8" i="6"/>
  <c r="V7" i="6"/>
  <c r="U7" i="6"/>
  <c r="Q7" i="6"/>
  <c r="C7" i="6"/>
  <c r="C12" i="6" s="1"/>
  <c r="C14" i="6" s="1"/>
  <c r="V6" i="6"/>
  <c r="U6" i="6"/>
  <c r="Q6" i="6"/>
  <c r="C6" i="6"/>
  <c r="V5" i="6"/>
  <c r="U5" i="6"/>
  <c r="Q5" i="6"/>
  <c r="C5" i="6"/>
  <c r="V4" i="6"/>
  <c r="U4" i="6"/>
  <c r="Q4" i="6"/>
  <c r="V3" i="6"/>
  <c r="U3" i="6"/>
  <c r="Q3" i="6"/>
  <c r="F66" i="5"/>
  <c r="F65" i="5"/>
  <c r="F64" i="5"/>
  <c r="F63" i="5"/>
  <c r="D63" i="5"/>
  <c r="F62" i="5"/>
  <c r="D62" i="5"/>
  <c r="F61" i="5"/>
  <c r="D61" i="5"/>
  <c r="F60" i="5"/>
  <c r="D60" i="5"/>
  <c r="F59" i="5"/>
  <c r="D59" i="5"/>
  <c r="E53" i="5"/>
  <c r="D53" i="5"/>
  <c r="C53" i="5"/>
  <c r="E52" i="5"/>
  <c r="D52" i="5"/>
  <c r="C52" i="5"/>
  <c r="E51" i="5"/>
  <c r="D51" i="5"/>
  <c r="C51" i="5"/>
  <c r="E50" i="5"/>
  <c r="D50" i="5"/>
  <c r="C50" i="5"/>
  <c r="E49" i="5"/>
  <c r="D49" i="5"/>
  <c r="C49" i="5"/>
  <c r="E48" i="5"/>
  <c r="D48" i="5"/>
  <c r="C48" i="5"/>
  <c r="E47" i="5"/>
  <c r="D47" i="5"/>
  <c r="C47" i="5"/>
  <c r="E46" i="5"/>
  <c r="D46" i="5"/>
  <c r="C46" i="5"/>
  <c r="I37" i="5"/>
  <c r="G37" i="5"/>
  <c r="E37" i="5"/>
  <c r="C37" i="5"/>
  <c r="F23" i="5"/>
  <c r="E23" i="5"/>
  <c r="D23" i="5"/>
  <c r="C10" i="5"/>
  <c r="C9" i="5"/>
  <c r="C8" i="5"/>
  <c r="C12" i="5" s="1"/>
  <c r="C7" i="5"/>
  <c r="C11" i="5" s="1"/>
  <c r="C6" i="5"/>
  <c r="C14" i="5" s="1"/>
  <c r="C5" i="5"/>
  <c r="G24" i="6" l="1"/>
  <c r="G26" i="6" s="1"/>
  <c r="F24" i="6"/>
  <c r="F26" i="6" s="1"/>
  <c r="C11" i="6"/>
  <c r="C13" i="6" s="1"/>
  <c r="C15" i="6" s="1"/>
  <c r="C17" i="6" s="1"/>
  <c r="C18" i="6" s="1"/>
  <c r="E24" i="5"/>
  <c r="E26" i="5" s="1"/>
  <c r="C13" i="5"/>
  <c r="C15" i="5" s="1"/>
  <c r="C17" i="5" s="1"/>
  <c r="C18" i="5" s="1"/>
  <c r="C23" i="5"/>
  <c r="D24" i="5" s="1"/>
  <c r="D26" i="5" s="1"/>
  <c r="C28" i="6" l="1"/>
  <c r="F24" i="5"/>
  <c r="F26" i="5" s="1"/>
  <c r="C28" i="5" s="1"/>
  <c r="E3" i="1"/>
  <c r="F3" i="1" s="1"/>
  <c r="D3" i="1"/>
  <c r="D4" i="1"/>
  <c r="E4" i="1" s="1"/>
  <c r="C11" i="1"/>
  <c r="D12" i="1" l="1"/>
  <c r="D14" i="1" s="1"/>
  <c r="E11" i="1"/>
  <c r="E13" i="1" s="1"/>
  <c r="E12" i="1"/>
  <c r="E14" i="1" s="1"/>
  <c r="F4" i="1"/>
  <c r="D11" i="1"/>
  <c r="D13" i="1" s="1"/>
  <c r="D15" i="1" l="1"/>
  <c r="E15" i="1"/>
  <c r="F11" i="1"/>
  <c r="F13" i="1" s="1"/>
  <c r="F12" i="1"/>
  <c r="F14" i="1" s="1"/>
  <c r="F15" i="1" l="1"/>
  <c r="G15" i="1" s="1"/>
  <c r="B109" i="1"/>
  <c r="B112" i="1"/>
  <c r="P5" i="4"/>
  <c r="P6" i="4"/>
  <c r="P7" i="4"/>
  <c r="P8" i="4"/>
  <c r="P9" i="4"/>
  <c r="P4" i="4"/>
  <c r="D47" i="1"/>
  <c r="N3" i="1"/>
  <c r="N4" i="1"/>
  <c r="N5" i="1"/>
  <c r="N6" i="1"/>
  <c r="N7" i="1"/>
  <c r="N8" i="1"/>
  <c r="N9" i="1"/>
  <c r="N2" i="1"/>
  <c r="B66" i="1"/>
  <c r="B67" i="1"/>
  <c r="B68" i="1"/>
  <c r="B69" i="1"/>
  <c r="B70" i="1"/>
  <c r="B71" i="1"/>
  <c r="B72" i="1"/>
  <c r="B73" i="1"/>
  <c r="B65" i="1"/>
  <c r="C53" i="1"/>
  <c r="B53" i="1"/>
  <c r="D53" i="1" s="1"/>
  <c r="C49" i="1"/>
  <c r="B49" i="1"/>
  <c r="D49" i="1" s="1"/>
  <c r="C50" i="1"/>
  <c r="C51" i="1"/>
  <c r="B51" i="1" s="1"/>
  <c r="D51" i="1" s="1"/>
  <c r="C52" i="1"/>
  <c r="B52" i="1"/>
  <c r="D52" i="1"/>
  <c r="C48" i="1"/>
  <c r="B48" i="1" s="1"/>
  <c r="D48" i="1" s="1"/>
  <c r="B89" i="1"/>
  <c r="B90" i="1"/>
  <c r="B91" i="1"/>
  <c r="B92" i="1"/>
  <c r="B93" i="1"/>
  <c r="B94" i="1"/>
  <c r="B95" i="1"/>
  <c r="B88" i="1"/>
  <c r="D23" i="4"/>
  <c r="F23" i="4"/>
  <c r="F24" i="4" s="1"/>
  <c r="F26" i="4" s="1"/>
  <c r="E23" i="4"/>
  <c r="C23" i="4"/>
  <c r="D24" i="4" s="1"/>
  <c r="D26" i="4" s="1"/>
  <c r="E24" i="4"/>
  <c r="E26" i="4" s="1"/>
  <c r="C10" i="4"/>
  <c r="C9" i="4"/>
  <c r="C8" i="4"/>
  <c r="C7" i="4"/>
  <c r="C12" i="4" s="1"/>
  <c r="C6" i="4"/>
  <c r="C5" i="4"/>
  <c r="B50" i="1"/>
  <c r="D50" i="1" s="1"/>
  <c r="F23" i="3"/>
  <c r="D23" i="3"/>
  <c r="C23" i="3" s="1"/>
  <c r="E23" i="3"/>
  <c r="E24" i="3" s="1"/>
  <c r="E26" i="3" s="1"/>
  <c r="M3" i="1"/>
  <c r="M4" i="1"/>
  <c r="M5" i="1"/>
  <c r="M6" i="1"/>
  <c r="M7" i="1"/>
  <c r="M8" i="1"/>
  <c r="M9" i="1"/>
  <c r="M2" i="1"/>
  <c r="L3" i="1"/>
  <c r="L4" i="1"/>
  <c r="L5" i="1"/>
  <c r="L6" i="1"/>
  <c r="L7" i="1"/>
  <c r="L8" i="1"/>
  <c r="L9" i="1"/>
  <c r="L2" i="1"/>
  <c r="F23" i="1"/>
  <c r="D23" i="1"/>
  <c r="E23" i="1"/>
  <c r="C8" i="3"/>
  <c r="C12" i="3"/>
  <c r="C14" i="3" s="1"/>
  <c r="C9" i="3"/>
  <c r="C10" i="3"/>
  <c r="C7" i="3"/>
  <c r="C11" i="3" s="1"/>
  <c r="C13" i="3" s="1"/>
  <c r="C15" i="3" s="1"/>
  <c r="C17" i="3" s="1"/>
  <c r="C18" i="3" s="1"/>
  <c r="C5" i="3"/>
  <c r="C6" i="3"/>
  <c r="C8" i="1"/>
  <c r="C9" i="1"/>
  <c r="C10" i="1"/>
  <c r="C7" i="1"/>
  <c r="C12" i="1" s="1"/>
  <c r="C14" i="1" s="1"/>
  <c r="C13" i="1"/>
  <c r="C5" i="1"/>
  <c r="C6" i="1"/>
  <c r="C11" i="4"/>
  <c r="C13" i="4" s="1"/>
  <c r="F24" i="3" l="1"/>
  <c r="F26" i="3" s="1"/>
  <c r="C14" i="4"/>
  <c r="C15" i="4" s="1"/>
  <c r="C17" i="4" s="1"/>
  <c r="C18" i="4" s="1"/>
  <c r="C28" i="4" s="1"/>
  <c r="C15" i="1"/>
  <c r="C17" i="1" s="1"/>
  <c r="C18" i="1" s="1"/>
  <c r="D24" i="3"/>
  <c r="D26" i="3" s="1"/>
  <c r="C23" i="1"/>
  <c r="E24" i="1" s="1"/>
  <c r="E26" i="1" s="1"/>
  <c r="C28" i="3" l="1"/>
  <c r="D24" i="1"/>
  <c r="D26" i="1" s="1"/>
  <c r="F24" i="1"/>
  <c r="F26" i="1" s="1"/>
  <c r="C28" i="1" l="1"/>
</calcChain>
</file>

<file path=xl/comments1.xml><?xml version="1.0" encoding="utf-8"?>
<comments xmlns="http://schemas.openxmlformats.org/spreadsheetml/2006/main">
  <authors>
    <author>itolab13</author>
  </authors>
  <commentList>
    <comment ref="C2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=(F26/C27)^(F2)*(D26/C27)^D2*(E26/C27)^E2/C18-1
</t>
        </r>
      </text>
    </comment>
  </commentList>
</comments>
</file>

<file path=xl/comments2.xml><?xml version="1.0" encoding="utf-8"?>
<comments xmlns="http://schemas.openxmlformats.org/spreadsheetml/2006/main">
  <authors>
    <author>itolab13</author>
  </authors>
  <commentList>
    <comment ref="C5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=D2*D5+F2*F5+E2*E5+G2*G5
</t>
        </r>
      </text>
    </comment>
    <comment ref="C6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D2*D6+E2*E6+F2*F6+G2*G6
</t>
        </r>
      </text>
    </comment>
    <comment ref="C7" authorId="0" shapeId="0">
      <text>
        <r>
          <rPr>
            <sz val="11"/>
            <color indexed="81"/>
            <rFont val="ＭＳ Ｐゴシック"/>
            <family val="3"/>
            <charset val="128"/>
          </rPr>
          <t>=D7*D$2+E7*E$2+F7*F$2+G7*G$2</t>
        </r>
      </text>
    </comment>
    <comment ref="C11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=C7*(C4-C3)+(C8/2)*(C4^2-C3^2)+(C9/3)*(C4^3-C3^3)+(C10/4)*(C4^4-C3^4)
</t>
        </r>
      </text>
    </comment>
    <comment ref="C12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=C7*LN(C4/C3)+C8*(C4-C3)+(C9/2)*(C4^2-C3^2)+(C10/3)*(C4^3-C3^3)
</t>
        </r>
      </text>
    </comment>
    <comment ref="C1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=C5+C11/1000
</t>
        </r>
      </text>
    </comment>
    <comment ref="C1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=C6+C12
</t>
        </r>
      </text>
    </comment>
    <comment ref="C15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=C13-C4*C14/1000
</t>
        </r>
      </text>
    </comment>
    <comment ref="C17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=-1*C15*1000/C16/C4
</t>
        </r>
      </text>
    </comment>
    <comment ref="C1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=EXP(C17)
</t>
        </r>
      </text>
    </comment>
    <comment ref="C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=SUM(D23:G23)
</t>
        </r>
      </text>
    </comment>
    <comment ref="D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=D21*(1-$C$22)
</t>
        </r>
      </text>
    </comment>
    <comment ref="F23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=F2*C22
</t>
        </r>
      </text>
    </comment>
    <comment ref="D2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=D23/$C$23
</t>
        </r>
      </text>
    </comment>
    <comment ref="D26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=$C$25*D24
</t>
        </r>
      </text>
    </comment>
    <comment ref="C28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=(F26/C27)^(F2)*(D26/C27)^D2*(E26/C27)^E2*(G26/C27)^G2/C18-1
</t>
        </r>
      </text>
    </comment>
  </commentList>
</comments>
</file>

<file path=xl/comments3.xml><?xml version="1.0" encoding="utf-8"?>
<comments xmlns="http://schemas.openxmlformats.org/spreadsheetml/2006/main">
  <authors>
    <author>itolab13</author>
  </authors>
  <commentList>
    <comment ref="D24" authorId="0" shapeId="0">
      <text>
        <r>
          <rPr>
            <sz val="11"/>
            <color indexed="81"/>
            <rFont val="ＭＳ Ｐゴシック"/>
            <family val="3"/>
            <charset val="128"/>
          </rPr>
          <t xml:space="preserve">=D23/$C$23
</t>
        </r>
      </text>
    </comment>
    <comment ref="C28" authorId="0" shapeId="0">
      <text>
        <r>
          <rPr>
            <sz val="11"/>
            <color indexed="81"/>
            <rFont val="ＭＳ Ｐゴシック"/>
            <family val="3"/>
            <charset val="128"/>
          </rPr>
          <t>=(F26/C27)^(F2)*(D26/C27)^D2*(E26/C27)^E2/C18-1
ゴールシークでセルC28を0とする転化率x（セルC21）を求める。</t>
        </r>
      </text>
    </comment>
  </commentList>
</comments>
</file>

<file path=xl/sharedStrings.xml><?xml version="1.0" encoding="utf-8"?>
<sst xmlns="http://schemas.openxmlformats.org/spreadsheetml/2006/main" count="395" uniqueCount="231">
  <si>
    <t>量論係数ν</t>
    <rPh sb="0" eb="1">
      <t>リョウ</t>
    </rPh>
    <rPh sb="1" eb="2">
      <t>ロン</t>
    </rPh>
    <rPh sb="2" eb="4">
      <t>ケイスウ</t>
    </rPh>
    <phoneticPr fontId="1"/>
  </si>
  <si>
    <t>T0 標準状態</t>
    <rPh sb="3" eb="5">
      <t>ヒョウジュン</t>
    </rPh>
    <rPh sb="5" eb="7">
      <t>ジョウタイ</t>
    </rPh>
    <phoneticPr fontId="1"/>
  </si>
  <si>
    <t>K</t>
    <phoneticPr fontId="1"/>
  </si>
  <si>
    <t>T</t>
    <phoneticPr fontId="1"/>
  </si>
  <si>
    <t>kJ/mol</t>
    <phoneticPr fontId="1"/>
  </si>
  <si>
    <t>J/K-mol</t>
    <phoneticPr fontId="1"/>
  </si>
  <si>
    <t>a</t>
    <phoneticPr fontId="1"/>
  </si>
  <si>
    <t>T in K</t>
    <phoneticPr fontId="1"/>
  </si>
  <si>
    <t>b</t>
    <phoneticPr fontId="1"/>
  </si>
  <si>
    <t xml:space="preserve">c </t>
    <phoneticPr fontId="1"/>
  </si>
  <si>
    <t>d</t>
    <phoneticPr fontId="1"/>
  </si>
  <si>
    <t>∫ΔCpdT</t>
    <phoneticPr fontId="1"/>
  </si>
  <si>
    <t>∫(ΔCp/T)dT</t>
    <phoneticPr fontId="1"/>
  </si>
  <si>
    <t>R</t>
    <phoneticPr fontId="1"/>
  </si>
  <si>
    <t>【平衡定数】</t>
    <rPh sb="1" eb="3">
      <t>ヘイコウ</t>
    </rPh>
    <rPh sb="3" eb="5">
      <t>テイスウ</t>
    </rPh>
    <phoneticPr fontId="1"/>
  </si>
  <si>
    <t>【平衡転化率】</t>
    <rPh sb="1" eb="3">
      <t>ヘイコウ</t>
    </rPh>
    <rPh sb="3" eb="6">
      <t>テンカリツ</t>
    </rPh>
    <phoneticPr fontId="1"/>
  </si>
  <si>
    <t>ΣνX</t>
    <phoneticPr fontId="1"/>
  </si>
  <si>
    <t>N2</t>
    <phoneticPr fontId="1"/>
  </si>
  <si>
    <t>H2</t>
    <phoneticPr fontId="1"/>
  </si>
  <si>
    <t>NH3</t>
    <phoneticPr fontId="1"/>
  </si>
  <si>
    <t>T[K]</t>
    <phoneticPr fontId="1"/>
  </si>
  <si>
    <t>K</t>
    <phoneticPr fontId="1"/>
  </si>
  <si>
    <t>ln K(T)=-ΔGﾟ(T)/RT</t>
    <phoneticPr fontId="1"/>
  </si>
  <si>
    <t>ΣνX</t>
    <phoneticPr fontId="1"/>
  </si>
  <si>
    <t>H2</t>
    <phoneticPr fontId="1"/>
  </si>
  <si>
    <t>O2</t>
    <phoneticPr fontId="1"/>
  </si>
  <si>
    <t>H2O</t>
    <phoneticPr fontId="1"/>
  </si>
  <si>
    <t>原料</t>
    <rPh sb="0" eb="2">
      <t>ゲンリョウ</t>
    </rPh>
    <phoneticPr fontId="1"/>
  </si>
  <si>
    <t>mol</t>
    <phoneticPr fontId="1"/>
  </si>
  <si>
    <t>転化率 x</t>
    <rPh sb="0" eb="2">
      <t>テンカ</t>
    </rPh>
    <rPh sb="2" eb="3">
      <t>リツ</t>
    </rPh>
    <phoneticPr fontId="1"/>
  </si>
  <si>
    <t>モル分率　yi</t>
    <rPh sb="2" eb="4">
      <t>ブンリツ</t>
    </rPh>
    <phoneticPr fontId="1"/>
  </si>
  <si>
    <t>MPa</t>
    <phoneticPr fontId="1"/>
  </si>
  <si>
    <t>分圧　pi</t>
    <rPh sb="0" eb="2">
      <t>ブンアツ</t>
    </rPh>
    <phoneticPr fontId="1"/>
  </si>
  <si>
    <t>方程式　K=Π(pi/P0)^ν</t>
    <rPh sb="0" eb="3">
      <t>ホウテイシキ</t>
    </rPh>
    <phoneticPr fontId="1"/>
  </si>
  <si>
    <t>計算結果のまとめ</t>
    <rPh sb="0" eb="2">
      <t>ケイサン</t>
    </rPh>
    <rPh sb="2" eb="4">
      <t>ケッカ</t>
    </rPh>
    <phoneticPr fontId="1"/>
  </si>
  <si>
    <t>圧力{MPa]</t>
    <rPh sb="0" eb="2">
      <t>アツリョク</t>
    </rPh>
    <phoneticPr fontId="1"/>
  </si>
  <si>
    <t>200℃</t>
    <phoneticPr fontId="1"/>
  </si>
  <si>
    <t>400℃</t>
    <phoneticPr fontId="1"/>
  </si>
  <si>
    <t>500℃</t>
    <phoneticPr fontId="1"/>
  </si>
  <si>
    <t>計算のまとめ</t>
    <rPh sb="0" eb="2">
      <t>ケイサン</t>
    </rPh>
    <phoneticPr fontId="1"/>
  </si>
  <si>
    <t>温度[℃]</t>
    <rPh sb="0" eb="2">
      <t>オンド</t>
    </rPh>
    <phoneticPr fontId="1"/>
  </si>
  <si>
    <t>1/T</t>
    <phoneticPr fontId="1"/>
  </si>
  <si>
    <t>ln K</t>
    <phoneticPr fontId="1"/>
  </si>
  <si>
    <t>K</t>
    <phoneticPr fontId="1"/>
  </si>
  <si>
    <t>ΔHf一定によるK</t>
    <rPh sb="3" eb="5">
      <t>イッテイ</t>
    </rPh>
    <phoneticPr fontId="1"/>
  </si>
  <si>
    <t>K</t>
    <phoneticPr fontId="1"/>
  </si>
  <si>
    <t>ΔCp, Cp=a+bT+cT^2+dT^3</t>
    <phoneticPr fontId="1"/>
  </si>
  <si>
    <t>ΔrHﾟ(T0), ΔfHﾟ</t>
    <phoneticPr fontId="1"/>
  </si>
  <si>
    <t>ΔrSﾟ(T0), Sﾟ</t>
    <phoneticPr fontId="1"/>
  </si>
  <si>
    <t>ΔrHﾟ(T)=ΔrHﾟ(T0)+∫ΔCpdT</t>
    <phoneticPr fontId="1"/>
  </si>
  <si>
    <t>ΔrSﾟ(T)=ΔrSﾟ(T0)+∫(ΔCp/T)dT</t>
    <phoneticPr fontId="1"/>
  </si>
  <si>
    <t>ΔrGﾟ(T)=ΔrHﾟ(T)-TΔrSﾟ(T)</t>
    <phoneticPr fontId="1"/>
  </si>
  <si>
    <t>K(T)</t>
    <phoneticPr fontId="1"/>
  </si>
  <si>
    <t>473K</t>
    <phoneticPr fontId="1"/>
  </si>
  <si>
    <t>673K</t>
    <phoneticPr fontId="1"/>
  </si>
  <si>
    <t>773K</t>
    <phoneticPr fontId="1"/>
  </si>
  <si>
    <t>全圧　p</t>
    <rPh sb="0" eb="2">
      <t>ゼンアツ</t>
    </rPh>
    <phoneticPr fontId="1"/>
  </si>
  <si>
    <t>標準圧力　p0</t>
    <rPh sb="0" eb="2">
      <t>ヒョウジュン</t>
    </rPh>
    <rPh sb="2" eb="4">
      <t>アツリョク</t>
    </rPh>
    <phoneticPr fontId="1"/>
  </si>
  <si>
    <t>方程式　K=Π(pi/p0)^νi</t>
    <rPh sb="0" eb="3">
      <t>ホウテイシキ</t>
    </rPh>
    <phoneticPr fontId="1"/>
  </si>
  <si>
    <t>平衡時物質量</t>
    <rPh sb="0" eb="2">
      <t>ヘイコウ</t>
    </rPh>
    <rPh sb="2" eb="3">
      <t>ジ</t>
    </rPh>
    <rPh sb="3" eb="6">
      <t>ブッシツリョウ</t>
    </rPh>
    <phoneticPr fontId="1"/>
  </si>
  <si>
    <t>計算結果まとめ</t>
    <rPh sb="0" eb="2">
      <t>ケイサン</t>
    </rPh>
    <rPh sb="2" eb="4">
      <t>ケッカ</t>
    </rPh>
    <phoneticPr fontId="1"/>
  </si>
  <si>
    <t>1000℃</t>
    <phoneticPr fontId="1"/>
  </si>
  <si>
    <t>1500℃</t>
    <phoneticPr fontId="1"/>
  </si>
  <si>
    <t>2000℃</t>
    <phoneticPr fontId="1"/>
  </si>
  <si>
    <t>2500℃</t>
    <phoneticPr fontId="1"/>
  </si>
  <si>
    <t>1273K</t>
    <phoneticPr fontId="1"/>
  </si>
  <si>
    <t>1773K</t>
    <phoneticPr fontId="1"/>
  </si>
  <si>
    <t>2273K</t>
    <phoneticPr fontId="1"/>
  </si>
  <si>
    <t>2773K</t>
    <phoneticPr fontId="1"/>
  </si>
  <si>
    <t>p=0.1 MPa</t>
    <phoneticPr fontId="1"/>
  </si>
  <si>
    <t>H2O転化率</t>
    <rPh sb="3" eb="5">
      <t>テンカ</t>
    </rPh>
    <rPh sb="5" eb="6">
      <t>リツ</t>
    </rPh>
    <phoneticPr fontId="1"/>
  </si>
  <si>
    <t>p=0.01 MPa</t>
    <phoneticPr fontId="1"/>
  </si>
  <si>
    <t>架谷新編化学工学p219</t>
    <rPh sb="0" eb="1">
      <t>カ</t>
    </rPh>
    <rPh sb="1" eb="2">
      <t>タニ</t>
    </rPh>
    <rPh sb="2" eb="4">
      <t>シンペン</t>
    </rPh>
    <rPh sb="4" eb="6">
      <t>カガク</t>
    </rPh>
    <rPh sb="6" eb="8">
      <t>コウガク</t>
    </rPh>
    <phoneticPr fontId="1"/>
  </si>
  <si>
    <t>T0 約束温度</t>
    <rPh sb="3" eb="5">
      <t>ヤクソク</t>
    </rPh>
    <rPh sb="5" eb="7">
      <t>オンド</t>
    </rPh>
    <phoneticPr fontId="1"/>
  </si>
  <si>
    <t>アトキンスp. 212</t>
    <phoneticPr fontId="1"/>
  </si>
  <si>
    <t>アンモニア生成反応平衡定数既往の値</t>
    <rPh sb="5" eb="7">
      <t>セイセイ</t>
    </rPh>
    <rPh sb="7" eb="9">
      <t>ハンノウ</t>
    </rPh>
    <rPh sb="9" eb="11">
      <t>ヘイコウ</t>
    </rPh>
    <rPh sb="11" eb="13">
      <t>テイスウ</t>
    </rPh>
    <rPh sb="13" eb="15">
      <t>キオウ</t>
    </rPh>
    <rPh sb="16" eb="17">
      <t>アタイ</t>
    </rPh>
    <phoneticPr fontId="1"/>
  </si>
  <si>
    <t>一致</t>
    <rPh sb="0" eb="2">
      <t>イッチ</t>
    </rPh>
    <phoneticPr fontId="1"/>
  </si>
  <si>
    <t>荒井　工学のための物理化学　p.135</t>
    <rPh sb="0" eb="2">
      <t>アライ</t>
    </rPh>
    <rPh sb="3" eb="5">
      <t>コウガク</t>
    </rPh>
    <rPh sb="9" eb="11">
      <t>ブツリ</t>
    </rPh>
    <rPh sb="11" eb="13">
      <t>カガク</t>
    </rPh>
    <phoneticPr fontId="1"/>
  </si>
  <si>
    <t>ほぼ一致</t>
    <rPh sb="2" eb="4">
      <t>イッチ</t>
    </rPh>
    <phoneticPr fontId="1"/>
  </si>
  <si>
    <t>Winnick: Chemical Engineering Thermodynamics, p. 526</t>
    <phoneticPr fontId="1"/>
  </si>
  <si>
    <t>K/K298</t>
    <phoneticPr fontId="1"/>
  </si>
  <si>
    <t>原田義也：化学熱力学, p. 118 (2012)</t>
    <rPh sb="0" eb="2">
      <t>ハラダ</t>
    </rPh>
    <rPh sb="2" eb="4">
      <t>ヨシヤ</t>
    </rPh>
    <rPh sb="5" eb="7">
      <t>カガク</t>
    </rPh>
    <rPh sb="7" eb="10">
      <t>ネツリキガク</t>
    </rPh>
    <phoneticPr fontId="1"/>
  </si>
  <si>
    <t>Kp[bar-2]</t>
    <phoneticPr fontId="1"/>
  </si>
  <si>
    <t>既往の値との比較</t>
    <rPh sb="0" eb="2">
      <t>キオウ</t>
    </rPh>
    <rPh sb="3" eb="4">
      <t>アタイ</t>
    </rPh>
    <rPh sb="6" eb="8">
      <t>ヒカク</t>
    </rPh>
    <phoneticPr fontId="1"/>
  </si>
  <si>
    <t>小島：熱力学 p282</t>
    <rPh sb="0" eb="2">
      <t>コジマ</t>
    </rPh>
    <rPh sb="3" eb="6">
      <t>ネツリキガク</t>
    </rPh>
    <phoneticPr fontId="1"/>
  </si>
  <si>
    <t>ΣνX</t>
    <phoneticPr fontId="1"/>
  </si>
  <si>
    <t>プロパンC3H8</t>
    <phoneticPr fontId="1"/>
  </si>
  <si>
    <t>プロピレンC3H6</t>
    <phoneticPr fontId="1"/>
  </si>
  <si>
    <t>H2</t>
    <phoneticPr fontId="1"/>
  </si>
  <si>
    <t>橋本健治：反応工学, p. 135 例題7.2</t>
    <rPh sb="0" eb="2">
      <t>ハシモト</t>
    </rPh>
    <rPh sb="2" eb="4">
      <t>ケンジ</t>
    </rPh>
    <rPh sb="5" eb="7">
      <t>ハンノウ</t>
    </rPh>
    <rPh sb="7" eb="9">
      <t>コウガク</t>
    </rPh>
    <rPh sb="18" eb="20">
      <t>レイダイ</t>
    </rPh>
    <phoneticPr fontId="1"/>
  </si>
  <si>
    <t>T</t>
    <phoneticPr fontId="1"/>
  </si>
  <si>
    <t>K</t>
    <phoneticPr fontId="1"/>
  </si>
  <si>
    <t>ΔrHﾟ(T0), ΔfHﾟ</t>
    <phoneticPr fontId="1"/>
  </si>
  <si>
    <t>kJ/mol</t>
    <phoneticPr fontId="1"/>
  </si>
  <si>
    <t>J/K-mol</t>
    <phoneticPr fontId="1"/>
  </si>
  <si>
    <t>ΔCp, Cp=a+bT+cT^2+dT^3</t>
    <phoneticPr fontId="1"/>
  </si>
  <si>
    <t>a</t>
    <phoneticPr fontId="1"/>
  </si>
  <si>
    <t>b</t>
    <phoneticPr fontId="1"/>
  </si>
  <si>
    <t xml:space="preserve">c </t>
    <phoneticPr fontId="1"/>
  </si>
  <si>
    <t>∫ΔCpdT</t>
    <phoneticPr fontId="1"/>
  </si>
  <si>
    <t>∫(ΔCp/T)dT</t>
    <phoneticPr fontId="1"/>
  </si>
  <si>
    <t>kJ/mol</t>
    <phoneticPr fontId="1"/>
  </si>
  <si>
    <t>ΔrGﾟ(T)=ΔrHﾟ(T)-TΔrSﾟ(T)</t>
    <phoneticPr fontId="1"/>
  </si>
  <si>
    <t>R</t>
    <phoneticPr fontId="1"/>
  </si>
  <si>
    <t>ln K(T)=-ΔGﾟ(T)/RT</t>
    <phoneticPr fontId="1"/>
  </si>
  <si>
    <t>K(T)</t>
    <phoneticPr fontId="1"/>
  </si>
  <si>
    <t>MPa</t>
    <phoneticPr fontId="1"/>
  </si>
  <si>
    <t>MPa</t>
    <phoneticPr fontId="1"/>
  </si>
  <si>
    <t>Murphy Introduciton to Chemical Processses p. 318</t>
    <phoneticPr fontId="1"/>
  </si>
  <si>
    <t>ΔH一定に一致</t>
    <rPh sb="2" eb="4">
      <t>イッテイ</t>
    </rPh>
    <rPh sb="5" eb="7">
      <t>イッチ</t>
    </rPh>
    <phoneticPr fontId="1"/>
  </si>
  <si>
    <t>Atkins&amp;Jones: Chemical Principles. 6th ed,  p. 428 (2013)</t>
    <phoneticPr fontId="1"/>
  </si>
  <si>
    <t>同 p. 140</t>
    <rPh sb="0" eb="1">
      <t>ドウ</t>
    </rPh>
    <phoneticPr fontId="1"/>
  </si>
  <si>
    <t>ｔａｔｅ縦</t>
    <rPh sb="4" eb="5">
      <t>タテ</t>
    </rPh>
    <phoneticPr fontId="1"/>
  </si>
  <si>
    <t>log K</t>
    <phoneticPr fontId="1"/>
  </si>
  <si>
    <t>伊香輪・新山：化学熱力学 p. 181</t>
    <rPh sb="0" eb="1">
      <t>イ</t>
    </rPh>
    <rPh sb="1" eb="2">
      <t>コウ</t>
    </rPh>
    <rPh sb="2" eb="3">
      <t>ワ</t>
    </rPh>
    <rPh sb="4" eb="6">
      <t>ニイヤマ</t>
    </rPh>
    <rPh sb="7" eb="9">
      <t>カガク</t>
    </rPh>
    <rPh sb="9" eb="12">
      <t>ネツリキガク</t>
    </rPh>
    <phoneticPr fontId="1"/>
  </si>
  <si>
    <t>Kp</t>
    <phoneticPr fontId="1"/>
  </si>
  <si>
    <t>橋本</t>
    <rPh sb="0" eb="2">
      <t>ハシモト</t>
    </rPh>
    <phoneticPr fontId="1"/>
  </si>
  <si>
    <t>K850=</t>
    <phoneticPr fontId="1"/>
  </si>
  <si>
    <t>x=</t>
    <phoneticPr fontId="1"/>
  </si>
  <si>
    <t>平衡定数計算まとめ</t>
    <rPh sb="0" eb="2">
      <t>ヘイコウ</t>
    </rPh>
    <rPh sb="2" eb="4">
      <t>テイスウ</t>
    </rPh>
    <rPh sb="4" eb="6">
      <t>ケイサン</t>
    </rPh>
    <phoneticPr fontId="1"/>
  </si>
  <si>
    <t>TT[K]</t>
    <phoneticPr fontId="1"/>
  </si>
  <si>
    <t>K</t>
    <phoneticPr fontId="1"/>
  </si>
  <si>
    <t>ln(K)</t>
    <phoneticPr fontId="1"/>
  </si>
  <si>
    <t>その温度の生成ギブスエネルギーから求める方法</t>
    <rPh sb="2" eb="4">
      <t>オンド</t>
    </rPh>
    <rPh sb="5" eb="7">
      <t>セイセイ</t>
    </rPh>
    <rPh sb="17" eb="18">
      <t>モト</t>
    </rPh>
    <rPh sb="20" eb="22">
      <t>ホウホウ</t>
    </rPh>
    <phoneticPr fontId="1"/>
  </si>
  <si>
    <t>500K のΔrG</t>
    <phoneticPr fontId="1"/>
  </si>
  <si>
    <t>バーロー物理化学（上）付録B14</t>
    <rPh sb="4" eb="6">
      <t>ブツリ</t>
    </rPh>
    <rPh sb="6" eb="8">
      <t>カガク</t>
    </rPh>
    <rPh sb="9" eb="10">
      <t>ジョウ</t>
    </rPh>
    <rPh sb="11" eb="13">
      <t>フロク</t>
    </rPh>
    <phoneticPr fontId="1"/>
  </si>
  <si>
    <t>N2</t>
    <phoneticPr fontId="1"/>
  </si>
  <si>
    <t>kJ/mol</t>
    <phoneticPr fontId="1"/>
  </si>
  <si>
    <t>H2</t>
    <phoneticPr fontId="1"/>
  </si>
  <si>
    <t>NH3(g)</t>
    <phoneticPr fontId="1"/>
  </si>
  <si>
    <t>ΔrG</t>
    <phoneticPr fontId="1"/>
  </si>
  <si>
    <t>T</t>
    <phoneticPr fontId="1"/>
  </si>
  <si>
    <t>K 500K</t>
    <phoneticPr fontId="1"/>
  </si>
  <si>
    <t>分圧　pi=p*yi</t>
    <rPh sb="0" eb="2">
      <t>ブンアツ</t>
    </rPh>
    <phoneticPr fontId="1"/>
  </si>
  <si>
    <t>ΔrSﾟ(T)=∫(ΔCp/T)dT</t>
    <phoneticPr fontId="1"/>
  </si>
  <si>
    <t>(COCO物性値）</t>
    <rPh sb="5" eb="8">
      <t>ブッセイチ</t>
    </rPh>
    <phoneticPr fontId="1"/>
  </si>
  <si>
    <t>Pressure stream 1</t>
  </si>
  <si>
    <t>Hydrogen conversion of GibbsReactor_1</t>
  </si>
  <si>
    <t>MPa</t>
  </si>
  <si>
    <t>&lt;COCO_06_GibbsReactor.fsd&gt;</t>
    <phoneticPr fontId="1"/>
  </si>
  <si>
    <t>673 K</t>
    <phoneticPr fontId="1"/>
  </si>
  <si>
    <t>473 K</t>
    <phoneticPr fontId="1"/>
  </si>
  <si>
    <t>773 K</t>
    <phoneticPr fontId="1"/>
  </si>
  <si>
    <t>CO</t>
    <phoneticPr fontId="1"/>
  </si>
  <si>
    <t>CH3OH(g)</t>
    <phoneticPr fontId="1"/>
  </si>
  <si>
    <t>K</t>
    <phoneticPr fontId="1"/>
  </si>
  <si>
    <t>kJ/mol</t>
    <phoneticPr fontId="1"/>
  </si>
  <si>
    <t>ΔrSﾟ(T0), Sﾟ</t>
    <phoneticPr fontId="1"/>
  </si>
  <si>
    <t>←アトキンス1, p. A39) 化工便覧は744だが間違い？</t>
    <rPh sb="17" eb="19">
      <t>カコウ</t>
    </rPh>
    <rPh sb="19" eb="21">
      <t>ビンラン</t>
    </rPh>
    <rPh sb="27" eb="29">
      <t>マチガ</t>
    </rPh>
    <phoneticPr fontId="1"/>
  </si>
  <si>
    <t>T in K</t>
    <phoneticPr fontId="1"/>
  </si>
  <si>
    <t>∫ΔCpdT</t>
    <phoneticPr fontId="1"/>
  </si>
  <si>
    <t>∫(ΔCp/T)dT</t>
    <phoneticPr fontId="1"/>
  </si>
  <si>
    <t>kJ/mol</t>
    <phoneticPr fontId="1"/>
  </si>
  <si>
    <t>ΔrSﾟ(T)=ΔrSﾟ(T0)+∫(ΔCp/T)dT</t>
    <phoneticPr fontId="1"/>
  </si>
  <si>
    <t>J/K-mol</t>
    <phoneticPr fontId="1"/>
  </si>
  <si>
    <t>ΔrGﾟ(T)=ΔrHﾟ(T)-TΔrSﾟ(T)</t>
    <phoneticPr fontId="1"/>
  </si>
  <si>
    <t>【平衡反応率】</t>
    <rPh sb="1" eb="3">
      <t>ヘイコウ</t>
    </rPh>
    <rPh sb="3" eb="5">
      <t>ハンノウ</t>
    </rPh>
    <rPh sb="5" eb="6">
      <t>リツ</t>
    </rPh>
    <phoneticPr fontId="1"/>
  </si>
  <si>
    <t>mol</t>
    <phoneticPr fontId="1"/>
  </si>
  <si>
    <t>COCO GibbsReactorによる計算</t>
    <rPh sb="20" eb="22">
      <t>ケイサン</t>
    </rPh>
    <phoneticPr fontId="1"/>
  </si>
  <si>
    <t>反応率 xA</t>
    <rPh sb="0" eb="2">
      <t>ハンノウ</t>
    </rPh>
    <rPh sb="2" eb="3">
      <t>リツ</t>
    </rPh>
    <phoneticPr fontId="1"/>
  </si>
  <si>
    <t>CO反応率</t>
    <rPh sb="2" eb="4">
      <t>ハンノウ</t>
    </rPh>
    <rPh sb="4" eb="5">
      <t>リツ</t>
    </rPh>
    <phoneticPr fontId="1"/>
  </si>
  <si>
    <t>mol</t>
    <phoneticPr fontId="1"/>
  </si>
  <si>
    <t>温度</t>
    <rPh sb="0" eb="2">
      <t>オンド</t>
    </rPh>
    <phoneticPr fontId="1"/>
  </si>
  <si>
    <t>1 MPa</t>
    <phoneticPr fontId="1"/>
  </si>
  <si>
    <t>10 MPa</t>
    <phoneticPr fontId="1"/>
  </si>
  <si>
    <t>20　MPa</t>
    <phoneticPr fontId="1"/>
  </si>
  <si>
    <t>℃</t>
    <phoneticPr fontId="1"/>
  </si>
  <si>
    <t>MPa</t>
    <phoneticPr fontId="1"/>
  </si>
  <si>
    <t>373K</t>
    <phoneticPr fontId="1"/>
  </si>
  <si>
    <t>473K</t>
    <phoneticPr fontId="1"/>
  </si>
  <si>
    <t>573K</t>
    <phoneticPr fontId="1"/>
  </si>
  <si>
    <t>673K</t>
    <phoneticPr fontId="1"/>
  </si>
  <si>
    <t>100℃</t>
    <phoneticPr fontId="1"/>
  </si>
  <si>
    <t>200℃</t>
    <phoneticPr fontId="1"/>
  </si>
  <si>
    <t>300℃</t>
    <phoneticPr fontId="1"/>
  </si>
  <si>
    <t>400℃</t>
    <phoneticPr fontId="1"/>
  </si>
  <si>
    <t>T[K]</t>
    <phoneticPr fontId="1"/>
  </si>
  <si>
    <t>log K</t>
    <phoneticPr fontId="1"/>
  </si>
  <si>
    <t>R.M. Murphy: Introduction to Chemical Processes, p. 309 (2007)</t>
    <phoneticPr fontId="1"/>
  </si>
  <si>
    <t>ASPEN</t>
    <phoneticPr fontId="1"/>
  </si>
  <si>
    <t>K</t>
    <phoneticPr fontId="1"/>
  </si>
  <si>
    <t>K</t>
    <phoneticPr fontId="1"/>
  </si>
  <si>
    <t>T[K]</t>
    <phoneticPr fontId="1"/>
  </si>
  <si>
    <t>http://ir.sxicc.ac.cn/bitstream/0/143/1/3801%E2%80%933805.pdf</t>
    <phoneticPr fontId="1"/>
  </si>
  <si>
    <t>ΣνX</t>
    <phoneticPr fontId="1"/>
  </si>
  <si>
    <t>CH4</t>
    <phoneticPr fontId="1"/>
  </si>
  <si>
    <t>H2O</t>
    <phoneticPr fontId="1"/>
  </si>
  <si>
    <t>CO</t>
    <phoneticPr fontId="1"/>
  </si>
  <si>
    <t>K</t>
    <phoneticPr fontId="1"/>
  </si>
  <si>
    <t>コムテック・クウェスト</t>
    <phoneticPr fontId="1"/>
  </si>
  <si>
    <t>ΔrHﾟ(T0), ΔfHﾟ</t>
    <phoneticPr fontId="1"/>
  </si>
  <si>
    <t>kJ/mol</t>
    <phoneticPr fontId="1"/>
  </si>
  <si>
    <t>ΔrSﾟ(T0), Sﾟ</t>
    <phoneticPr fontId="1"/>
  </si>
  <si>
    <t>J/K-mol</t>
    <phoneticPr fontId="1"/>
  </si>
  <si>
    <t>ΔCp, Cp=a+bT+cT^2+dT^3</t>
    <phoneticPr fontId="1"/>
  </si>
  <si>
    <t>a</t>
    <phoneticPr fontId="1"/>
  </si>
  <si>
    <t>T in K</t>
    <phoneticPr fontId="1"/>
  </si>
  <si>
    <t xml:space="preserve">c </t>
    <phoneticPr fontId="1"/>
  </si>
  <si>
    <t>d</t>
    <phoneticPr fontId="1"/>
  </si>
  <si>
    <t>∫ΔCpdT</t>
    <phoneticPr fontId="1"/>
  </si>
  <si>
    <t>http://comtecquest.com/</t>
    <phoneticPr fontId="1"/>
  </si>
  <si>
    <t>ΔrHﾟ(T)=ΔrHﾟ(T0)+∫ΔCpdT</t>
    <phoneticPr fontId="1"/>
  </si>
  <si>
    <t>ΔrSﾟ(T)=ΔrSﾟ(T0)+∫(ΔCp/T)dT</t>
    <phoneticPr fontId="1"/>
  </si>
  <si>
    <t>ΔrGﾟ(T)=ΔrHﾟ(T)-TΔrSﾟ(T)</t>
    <phoneticPr fontId="1"/>
  </si>
  <si>
    <t>R</t>
    <phoneticPr fontId="1"/>
  </si>
  <si>
    <t>ln K(T)=-ΔGﾟ(T)/RT</t>
    <phoneticPr fontId="1"/>
  </si>
  <si>
    <t>MPa</t>
    <phoneticPr fontId="1"/>
  </si>
  <si>
    <t>MPa</t>
    <phoneticPr fontId="1"/>
  </si>
  <si>
    <t>MPa</t>
    <phoneticPr fontId="1"/>
  </si>
  <si>
    <t>COCO GobbsReactorによる計算</t>
    <rPh sb="20" eb="22">
      <t>ケイサン</t>
    </rPh>
    <phoneticPr fontId="1"/>
  </si>
  <si>
    <t>P=1 MPa</t>
    <phoneticPr fontId="1"/>
  </si>
  <si>
    <t>P=0.1 MPa</t>
    <phoneticPr fontId="1"/>
  </si>
  <si>
    <t>℃</t>
    <phoneticPr fontId="1"/>
  </si>
  <si>
    <t>P=0.1 MPa</t>
    <phoneticPr fontId="1"/>
  </si>
  <si>
    <t>P=1 MPa</t>
    <phoneticPr fontId="1"/>
  </si>
  <si>
    <t>R</t>
    <phoneticPr fontId="1"/>
  </si>
  <si>
    <t>m3-Pa/mol-K</t>
    <phoneticPr fontId="1"/>
  </si>
  <si>
    <t>T</t>
    <phoneticPr fontId="1"/>
  </si>
  <si>
    <t>K</t>
    <phoneticPr fontId="1"/>
  </si>
  <si>
    <t>p0</t>
    <phoneticPr fontId="1"/>
  </si>
  <si>
    <t>Pa</t>
    <phoneticPr fontId="1"/>
  </si>
  <si>
    <t>Kc(T)=Kp(T)/(RT/p0)^-2</t>
    <phoneticPr fontId="1"/>
  </si>
  <si>
    <t>(RT/p0)-2</t>
    <phoneticPr fontId="1"/>
  </si>
  <si>
    <t>m6/mol2</t>
    <phoneticPr fontId="1"/>
  </si>
  <si>
    <t>Kp(T)</t>
    <phoneticPr fontId="1"/>
  </si>
  <si>
    <t>[-]</t>
    <phoneticPr fontId="1"/>
  </si>
  <si>
    <t xml:space="preserve">Kc(T) </t>
    <phoneticPr fontId="1"/>
  </si>
  <si>
    <t>mol2/m6</t>
    <phoneticPr fontId="1"/>
  </si>
  <si>
    <t>反応率 x</t>
    <rPh sb="0" eb="2">
      <t>ハンノウ</t>
    </rPh>
    <rPh sb="2" eb="3">
      <t>リツ</t>
    </rPh>
    <phoneticPr fontId="1"/>
  </si>
  <si>
    <t>相関式</t>
    <rPh sb="0" eb="2">
      <t>ソウカン</t>
    </rPh>
    <rPh sb="2" eb="3">
      <t>シキ</t>
    </rPh>
    <phoneticPr fontId="1"/>
  </si>
  <si>
    <t>平衡反応率</t>
    <rPh sb="0" eb="2">
      <t>ヘイコウ</t>
    </rPh>
    <rPh sb="2" eb="4">
      <t>ハンノウ</t>
    </rPh>
    <rPh sb="4" eb="5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</si>
</sst>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E+00"/>
    <numFmt numFmtId="177" formatCode="0.0_ "/>
    <numFmt numFmtId="178" formatCode="0.00_ "/>
    <numFmt numFmtId="179" formatCode="0.000E+00"/>
    <numFmt numFmtId="180" formatCode="0.0000_ "/>
  </numFmts>
  <fonts count="14" x14ac:knownFonts="1"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1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8"/>
      <color theme="10"/>
      <name val="ＭＳ Ｐゴシック"/>
      <family val="3"/>
      <charset val="128"/>
    </font>
    <font>
      <sz val="8"/>
      <color rgb="FF333333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rgb="FF0070C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  <xf numFmtId="0" fontId="6" fillId="0" borderId="0" applyNumberForma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1" fontId="3" fillId="0" borderId="0" xfId="0" applyNumberFormat="1" applyFont="1">
      <alignment vertical="center"/>
    </xf>
    <xf numFmtId="11" fontId="2" fillId="0" borderId="0" xfId="0" applyNumberFormat="1" applyFont="1">
      <alignment vertical="center"/>
    </xf>
    <xf numFmtId="0" fontId="2" fillId="0" borderId="1" xfId="0" applyFont="1" applyBorder="1">
      <alignment vertical="center"/>
    </xf>
    <xf numFmtId="0" fontId="7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11" fontId="0" fillId="0" borderId="0" xfId="0" applyNumberFormat="1">
      <alignment vertical="center"/>
    </xf>
    <xf numFmtId="0" fontId="8" fillId="0" borderId="0" xfId="0" applyFont="1">
      <alignment vertical="center"/>
    </xf>
    <xf numFmtId="176" fontId="2" fillId="0" borderId="0" xfId="0" applyNumberFormat="1" applyFont="1">
      <alignment vertical="center"/>
    </xf>
    <xf numFmtId="177" fontId="2" fillId="0" borderId="0" xfId="0" applyNumberFormat="1" applyFont="1">
      <alignment vertical="center"/>
    </xf>
    <xf numFmtId="178" fontId="2" fillId="0" borderId="0" xfId="0" applyNumberFormat="1" applyFont="1">
      <alignment vertical="center"/>
    </xf>
    <xf numFmtId="0" fontId="9" fillId="0" borderId="0" xfId="0" applyFont="1">
      <alignment vertical="center"/>
    </xf>
    <xf numFmtId="11" fontId="9" fillId="0" borderId="0" xfId="0" applyNumberFormat="1" applyFont="1">
      <alignment vertical="center"/>
    </xf>
    <xf numFmtId="177" fontId="9" fillId="0" borderId="0" xfId="0" applyNumberFormat="1" applyFont="1">
      <alignment vertical="center"/>
    </xf>
    <xf numFmtId="0" fontId="10" fillId="0" borderId="0" xfId="0" applyFont="1">
      <alignment vertical="center"/>
    </xf>
    <xf numFmtId="177" fontId="0" fillId="0" borderId="0" xfId="0" applyNumberFormat="1" applyFont="1">
      <alignment vertical="center"/>
    </xf>
    <xf numFmtId="0" fontId="11" fillId="0" borderId="0" xfId="0" applyFont="1">
      <alignment vertical="center"/>
    </xf>
    <xf numFmtId="0" fontId="12" fillId="0" borderId="0" xfId="1" applyAlignment="1" applyProtection="1">
      <alignment vertical="center"/>
    </xf>
    <xf numFmtId="0" fontId="6" fillId="0" borderId="0" xfId="2">
      <alignment vertical="center"/>
    </xf>
    <xf numFmtId="179" fontId="2" fillId="0" borderId="0" xfId="0" applyNumberFormat="1" applyFont="1">
      <alignment vertical="center"/>
    </xf>
    <xf numFmtId="0" fontId="2" fillId="0" borderId="0" xfId="0" applyNumberFormat="1" applyFont="1">
      <alignment vertical="center"/>
    </xf>
    <xf numFmtId="180" fontId="2" fillId="0" borderId="0" xfId="0" applyNumberFormat="1" applyFont="1">
      <alignment vertical="center"/>
    </xf>
    <xf numFmtId="0" fontId="13" fillId="0" borderId="0" xfId="0" applyFont="1" applyAlignment="1">
      <alignment horizontal="center" vertical="center" readingOrder="1"/>
    </xf>
    <xf numFmtId="178" fontId="13" fillId="0" borderId="0" xfId="0" applyNumberFormat="1" applyFont="1" applyAlignment="1">
      <alignment horizontal="center" vertical="center" readingOrder="1"/>
    </xf>
  </cellXfs>
  <cellStyles count="3">
    <cellStyle name="ハイパーリンク 2" xfId="1"/>
    <cellStyle name="ハイパーリンク 2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この計算値</a:t>
            </a:r>
          </a:p>
        </c:rich>
      </c:tx>
      <c:layout>
        <c:manualLayout>
          <c:xMode val="edge"/>
          <c:yMode val="edge"/>
          <c:x val="0.71849906661110574"/>
          <c:y val="0.42840947698189646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25720634324027"/>
          <c:y val="4.8110127087786884E-2"/>
          <c:w val="0.73477948451499864"/>
          <c:h val="0.76771293735901591"/>
        </c:manualLayout>
      </c:layout>
      <c:scatterChart>
        <c:scatterStyle val="lineMarker"/>
        <c:varyColors val="0"/>
        <c:ser>
          <c:idx val="24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31-4CD0-B5A3-2FD571877387}"/>
            </c:ext>
          </c:extLst>
        </c:ser>
        <c:ser>
          <c:idx val="25"/>
          <c:order val="1"/>
          <c:spPr>
            <a:ln w="19050">
              <a:noFill/>
            </a:ln>
          </c:spPr>
          <c:marker>
            <c:symbol val="none"/>
          </c:marker>
          <c:xVal>
            <c:strRef>
              <c:f>例題6平衡定数アンモニア!$A$65:$A$93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例題6平衡定数アンモニア!$B$65:$B$92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E31-4CD0-B5A3-2FD571877387}"/>
            </c:ext>
          </c:extLst>
        </c:ser>
        <c:ser>
          <c:idx val="26"/>
          <c:order val="2"/>
          <c:spPr>
            <a:ln w="19050">
              <a:noFill/>
            </a:ln>
          </c:spPr>
          <c:marker>
            <c:symbol val="none"/>
          </c:marker>
          <c:xVal>
            <c:numRef>
              <c:f>例題6平衡定数アンモニア!$A$61:$A$62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例題6平衡定数アンモニア!$B$61:$B$62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E31-4CD0-B5A3-2FD571877387}"/>
            </c:ext>
          </c:extLst>
        </c:ser>
        <c:ser>
          <c:idx val="27"/>
          <c:order val="3"/>
          <c:marker>
            <c:symbol val="none"/>
          </c:marker>
          <c:xVal>
            <c:numRef>
              <c:f>例題6平衡定数アンモニア!$A$76:$A$78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例題6平衡定数アンモニア!$B$76:$B$78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E31-4CD0-B5A3-2FD571877387}"/>
            </c:ext>
          </c:extLst>
        </c:ser>
        <c:ser>
          <c:idx val="28"/>
          <c:order val="4"/>
          <c:marker>
            <c:symbol val="none"/>
          </c:marker>
          <c:xVal>
            <c:numRef>
              <c:f>例題6平衡定数アンモニア!$A$81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例題6平衡定数アンモニア!$B$81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E31-4CD0-B5A3-2FD571877387}"/>
            </c:ext>
          </c:extLst>
        </c:ser>
        <c:ser>
          <c:idx val="29"/>
          <c:order val="5"/>
          <c:spPr>
            <a:ln>
              <a:noFill/>
            </a:ln>
          </c:spPr>
          <c:marker>
            <c:symbol val="none"/>
          </c:marker>
          <c:xVal>
            <c:numRef>
              <c:f>例題6平衡定数アンモニア!$A$84:$A$85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例題6平衡定数アンモニア!$B$84:$B$85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E31-4CD0-B5A3-2FD571877387}"/>
            </c:ext>
          </c:extLst>
        </c:ser>
        <c:ser>
          <c:idx val="30"/>
          <c:order val="6"/>
          <c:marker>
            <c:symbol val="none"/>
          </c:marker>
          <c:xVal>
            <c:numRef>
              <c:f>例題6平衡定数アンモニア!$A$88:$A$95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E31-4CD0-B5A3-2FD571877387}"/>
            </c:ext>
          </c:extLst>
        </c:ser>
        <c:ser>
          <c:idx val="31"/>
          <c:order val="7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例題6平衡定数アンモニア!$A$65:$A$73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例題6平衡定数アンモニア!$B$65:$B$73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E31-4CD0-B5A3-2FD571877387}"/>
            </c:ext>
          </c:extLst>
        </c:ser>
        <c:ser>
          <c:idx val="32"/>
          <c:order val="8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E31-4CD0-B5A3-2FD571877387}"/>
            </c:ext>
          </c:extLst>
        </c:ser>
        <c:ser>
          <c:idx val="33"/>
          <c:order val="9"/>
          <c:spPr>
            <a:ln w="19050">
              <a:noFill/>
            </a:ln>
          </c:spPr>
          <c:marker>
            <c:symbol val="none"/>
          </c:marker>
          <c:xVal>
            <c:strRef>
              <c:f>例題6平衡定数アンモニア!$A$65:$A$93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例題6平衡定数アンモニア!$B$65:$B$92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8E31-4CD0-B5A3-2FD571877387}"/>
            </c:ext>
          </c:extLst>
        </c:ser>
        <c:ser>
          <c:idx val="34"/>
          <c:order val="10"/>
          <c:spPr>
            <a:ln w="19050">
              <a:noFill/>
            </a:ln>
          </c:spPr>
          <c:marker>
            <c:symbol val="none"/>
          </c:marker>
          <c:xVal>
            <c:numRef>
              <c:f>例題6平衡定数アンモニア!$A$61:$A$62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例題6平衡定数アンモニア!$B$61:$B$62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8E31-4CD0-B5A3-2FD571877387}"/>
            </c:ext>
          </c:extLst>
        </c:ser>
        <c:ser>
          <c:idx val="35"/>
          <c:order val="11"/>
          <c:marker>
            <c:symbol val="none"/>
          </c:marker>
          <c:xVal>
            <c:numRef>
              <c:f>例題6平衡定数アンモニア!$A$76:$A$78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例題6平衡定数アンモニア!$B$76:$B$78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8E31-4CD0-B5A3-2FD571877387}"/>
            </c:ext>
          </c:extLst>
        </c:ser>
        <c:ser>
          <c:idx val="36"/>
          <c:order val="12"/>
          <c:marker>
            <c:symbol val="none"/>
          </c:marker>
          <c:xVal>
            <c:numRef>
              <c:f>例題6平衡定数アンモニア!$A$81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例題6平衡定数アンモニア!$B$81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8E31-4CD0-B5A3-2FD571877387}"/>
            </c:ext>
          </c:extLst>
        </c:ser>
        <c:ser>
          <c:idx val="37"/>
          <c:order val="13"/>
          <c:spPr>
            <a:ln>
              <a:noFill/>
            </a:ln>
          </c:spPr>
          <c:marker>
            <c:symbol val="none"/>
          </c:marker>
          <c:xVal>
            <c:numRef>
              <c:f>例題6平衡定数アンモニア!$A$84:$A$85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例題6平衡定数アンモニア!$B$84:$B$85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8E31-4CD0-B5A3-2FD571877387}"/>
            </c:ext>
          </c:extLst>
        </c:ser>
        <c:ser>
          <c:idx val="38"/>
          <c:order val="14"/>
          <c:marker>
            <c:symbol val="none"/>
          </c:marker>
          <c:xVal>
            <c:numRef>
              <c:f>例題6平衡定数アンモニア!$A$88:$A$95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8E31-4CD0-B5A3-2FD571877387}"/>
            </c:ext>
          </c:extLst>
        </c:ser>
        <c:ser>
          <c:idx val="39"/>
          <c:order val="15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例題6平衡定数アンモニア!$A$65:$A$73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例題6平衡定数アンモニア!$B$65:$B$73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8E31-4CD0-B5A3-2FD571877387}"/>
            </c:ext>
          </c:extLst>
        </c:ser>
        <c:ser>
          <c:idx val="40"/>
          <c:order val="16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8E31-4CD0-B5A3-2FD571877387}"/>
            </c:ext>
          </c:extLst>
        </c:ser>
        <c:ser>
          <c:idx val="41"/>
          <c:order val="17"/>
          <c:spPr>
            <a:ln w="19050">
              <a:noFill/>
            </a:ln>
          </c:spPr>
          <c:marker>
            <c:symbol val="none"/>
          </c:marker>
          <c:xVal>
            <c:strRef>
              <c:f>例題6平衡定数アンモニア!$A$65:$A$93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例題6平衡定数アンモニア!$B$65:$B$92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8E31-4CD0-B5A3-2FD571877387}"/>
            </c:ext>
          </c:extLst>
        </c:ser>
        <c:ser>
          <c:idx val="42"/>
          <c:order val="18"/>
          <c:spPr>
            <a:ln w="19050">
              <a:noFill/>
            </a:ln>
          </c:spPr>
          <c:marker>
            <c:symbol val="none"/>
          </c:marker>
          <c:xVal>
            <c:numRef>
              <c:f>例題6平衡定数アンモニア!$A$61:$A$62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例題6平衡定数アンモニア!$B$61:$B$62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8E31-4CD0-B5A3-2FD571877387}"/>
            </c:ext>
          </c:extLst>
        </c:ser>
        <c:ser>
          <c:idx val="43"/>
          <c:order val="19"/>
          <c:marker>
            <c:symbol val="none"/>
          </c:marker>
          <c:xVal>
            <c:numRef>
              <c:f>例題6平衡定数アンモニア!$A$76:$A$78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例題6平衡定数アンモニア!$B$76:$B$78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8E31-4CD0-B5A3-2FD571877387}"/>
            </c:ext>
          </c:extLst>
        </c:ser>
        <c:ser>
          <c:idx val="44"/>
          <c:order val="20"/>
          <c:marker>
            <c:symbol val="none"/>
          </c:marker>
          <c:xVal>
            <c:numRef>
              <c:f>例題6平衡定数アンモニア!$A$81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例題6平衡定数アンモニア!$B$81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8E31-4CD0-B5A3-2FD571877387}"/>
            </c:ext>
          </c:extLst>
        </c:ser>
        <c:ser>
          <c:idx val="45"/>
          <c:order val="21"/>
          <c:spPr>
            <a:ln>
              <a:noFill/>
            </a:ln>
          </c:spPr>
          <c:marker>
            <c:symbol val="none"/>
          </c:marker>
          <c:xVal>
            <c:numRef>
              <c:f>例題6平衡定数アンモニア!$A$84:$A$85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例題6平衡定数アンモニア!$B$84:$B$85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8E31-4CD0-B5A3-2FD571877387}"/>
            </c:ext>
          </c:extLst>
        </c:ser>
        <c:ser>
          <c:idx val="46"/>
          <c:order val="22"/>
          <c:marker>
            <c:symbol val="none"/>
          </c:marker>
          <c:xVal>
            <c:numRef>
              <c:f>例題6平衡定数アンモニア!$A$88:$A$95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8E31-4CD0-B5A3-2FD571877387}"/>
            </c:ext>
          </c:extLst>
        </c:ser>
        <c:ser>
          <c:idx val="47"/>
          <c:order val="23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例題6平衡定数アンモニア!$A$65:$A$73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例題6平衡定数アンモニア!$B$65:$B$73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8E31-4CD0-B5A3-2FD571877387}"/>
            </c:ext>
          </c:extLst>
        </c:ser>
        <c:ser>
          <c:idx val="8"/>
          <c:order val="24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8E31-4CD0-B5A3-2FD571877387}"/>
            </c:ext>
          </c:extLst>
        </c:ser>
        <c:ser>
          <c:idx val="9"/>
          <c:order val="25"/>
          <c:spPr>
            <a:ln w="19050">
              <a:noFill/>
            </a:ln>
          </c:spPr>
          <c:marker>
            <c:symbol val="none"/>
          </c:marker>
          <c:xVal>
            <c:strRef>
              <c:f>例題6平衡定数アンモニア!$A$65:$A$93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例題6平衡定数アンモニア!$B$65:$B$92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8E31-4CD0-B5A3-2FD571877387}"/>
            </c:ext>
          </c:extLst>
        </c:ser>
        <c:ser>
          <c:idx val="10"/>
          <c:order val="26"/>
          <c:spPr>
            <a:ln w="19050">
              <a:noFill/>
            </a:ln>
          </c:spPr>
          <c:marker>
            <c:symbol val="none"/>
          </c:marker>
          <c:xVal>
            <c:numRef>
              <c:f>例題6平衡定数アンモニア!$A$61:$A$62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例題6平衡定数アンモニア!$B$61:$B$62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8E31-4CD0-B5A3-2FD571877387}"/>
            </c:ext>
          </c:extLst>
        </c:ser>
        <c:ser>
          <c:idx val="11"/>
          <c:order val="27"/>
          <c:marker>
            <c:symbol val="none"/>
          </c:marker>
          <c:xVal>
            <c:numRef>
              <c:f>例題6平衡定数アンモニア!$A$76:$A$78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例題6平衡定数アンモニア!$B$76:$B$78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8E31-4CD0-B5A3-2FD571877387}"/>
            </c:ext>
          </c:extLst>
        </c:ser>
        <c:ser>
          <c:idx val="12"/>
          <c:order val="28"/>
          <c:marker>
            <c:symbol val="none"/>
          </c:marker>
          <c:xVal>
            <c:numRef>
              <c:f>例題6平衡定数アンモニア!$A$81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例題6平衡定数アンモニア!$B$81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8E31-4CD0-B5A3-2FD571877387}"/>
            </c:ext>
          </c:extLst>
        </c:ser>
        <c:ser>
          <c:idx val="13"/>
          <c:order val="29"/>
          <c:spPr>
            <a:ln>
              <a:noFill/>
            </a:ln>
          </c:spPr>
          <c:marker>
            <c:symbol val="none"/>
          </c:marker>
          <c:xVal>
            <c:numRef>
              <c:f>例題6平衡定数アンモニア!$A$84:$A$85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例題6平衡定数アンモニア!$B$84:$B$85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8E31-4CD0-B5A3-2FD571877387}"/>
            </c:ext>
          </c:extLst>
        </c:ser>
        <c:ser>
          <c:idx val="14"/>
          <c:order val="30"/>
          <c:marker>
            <c:symbol val="none"/>
          </c:marker>
          <c:xVal>
            <c:numRef>
              <c:f>例題6平衡定数アンモニア!$A$88:$A$95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8E31-4CD0-B5A3-2FD571877387}"/>
            </c:ext>
          </c:extLst>
        </c:ser>
        <c:ser>
          <c:idx val="15"/>
          <c:order val="31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例題6平衡定数アンモニア!$A$65:$A$73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例題6平衡定数アンモニア!$B$65:$B$73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8E31-4CD0-B5A3-2FD571877387}"/>
            </c:ext>
          </c:extLst>
        </c:ser>
        <c:ser>
          <c:idx val="16"/>
          <c:order val="32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8E31-4CD0-B5A3-2FD571877387}"/>
            </c:ext>
          </c:extLst>
        </c:ser>
        <c:ser>
          <c:idx val="17"/>
          <c:order val="33"/>
          <c:spPr>
            <a:ln w="19050">
              <a:noFill/>
            </a:ln>
          </c:spPr>
          <c:marker>
            <c:symbol val="none"/>
          </c:marker>
          <c:xVal>
            <c:strRef>
              <c:f>例題6平衡定数アンモニア!$A$65:$A$93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例題6平衡定数アンモニア!$B$65:$B$92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8E31-4CD0-B5A3-2FD571877387}"/>
            </c:ext>
          </c:extLst>
        </c:ser>
        <c:ser>
          <c:idx val="18"/>
          <c:order val="34"/>
          <c:spPr>
            <a:ln w="19050">
              <a:noFill/>
            </a:ln>
          </c:spPr>
          <c:marker>
            <c:symbol val="none"/>
          </c:marker>
          <c:xVal>
            <c:numRef>
              <c:f>例題6平衡定数アンモニア!$A$61:$A$62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例題6平衡定数アンモニア!$B$61:$B$62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8E31-4CD0-B5A3-2FD571877387}"/>
            </c:ext>
          </c:extLst>
        </c:ser>
        <c:ser>
          <c:idx val="19"/>
          <c:order val="35"/>
          <c:marker>
            <c:symbol val="none"/>
          </c:marker>
          <c:xVal>
            <c:numRef>
              <c:f>例題6平衡定数アンモニア!$A$76:$A$78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例題6平衡定数アンモニア!$B$76:$B$78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8E31-4CD0-B5A3-2FD571877387}"/>
            </c:ext>
          </c:extLst>
        </c:ser>
        <c:ser>
          <c:idx val="20"/>
          <c:order val="36"/>
          <c:marker>
            <c:symbol val="none"/>
          </c:marker>
          <c:xVal>
            <c:numRef>
              <c:f>例題6平衡定数アンモニア!$A$81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例題6平衡定数アンモニア!$B$81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8E31-4CD0-B5A3-2FD571877387}"/>
            </c:ext>
          </c:extLst>
        </c:ser>
        <c:ser>
          <c:idx val="21"/>
          <c:order val="37"/>
          <c:spPr>
            <a:ln>
              <a:noFill/>
            </a:ln>
          </c:spPr>
          <c:marker>
            <c:symbol val="none"/>
          </c:marker>
          <c:xVal>
            <c:numRef>
              <c:f>例題6平衡定数アンモニア!$A$84:$A$85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例題6平衡定数アンモニア!$B$84:$B$85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8E31-4CD0-B5A3-2FD571877387}"/>
            </c:ext>
          </c:extLst>
        </c:ser>
        <c:ser>
          <c:idx val="22"/>
          <c:order val="38"/>
          <c:marker>
            <c:symbol val="none"/>
          </c:marker>
          <c:xVal>
            <c:numRef>
              <c:f>例題6平衡定数アンモニア!$A$88:$A$95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8E31-4CD0-B5A3-2FD571877387}"/>
            </c:ext>
          </c:extLst>
        </c:ser>
        <c:ser>
          <c:idx val="23"/>
          <c:order val="39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例題6平衡定数アンモニア!$A$65:$A$73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例題6平衡定数アンモニア!$B$65:$B$73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8E31-4CD0-B5A3-2FD571877387}"/>
            </c:ext>
          </c:extLst>
        </c:ser>
        <c:ser>
          <c:idx val="0"/>
          <c:order val="4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28-8E31-4CD0-B5A3-2FD571877387}"/>
            </c:ext>
          </c:extLst>
        </c:ser>
        <c:ser>
          <c:idx val="1"/>
          <c:order val="41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strRef>
              <c:f>例題6平衡定数アンモニア!$A$65:$A$93</c:f>
              <c:strCache>
                <c:ptCount val="2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  <c:pt idx="9">
                  <c:v>Atkins&amp;Jones: Chemical Principles. 6th ed,  p. 428 (2013)</c:v>
                </c:pt>
                <c:pt idx="10">
                  <c:v>T[K]</c:v>
                </c:pt>
                <c:pt idx="11">
                  <c:v>298</c:v>
                </c:pt>
                <c:pt idx="12">
                  <c:v>400</c:v>
                </c:pt>
                <c:pt idx="13">
                  <c:v>500</c:v>
                </c:pt>
                <c:pt idx="14">
                  <c:v>Winnick: Chemical Engineering Thermodynamics, p. 526</c:v>
                </c:pt>
                <c:pt idx="15">
                  <c:v>T[K]</c:v>
                </c:pt>
                <c:pt idx="16">
                  <c:v>800</c:v>
                </c:pt>
                <c:pt idx="17">
                  <c:v>原田義也：化学熱力学, p. 118 (2012)</c:v>
                </c:pt>
                <c:pt idx="18">
                  <c:v>T[K]</c:v>
                </c:pt>
                <c:pt idx="19">
                  <c:v>298</c:v>
                </c:pt>
                <c:pt idx="20">
                  <c:v>1000</c:v>
                </c:pt>
                <c:pt idx="21">
                  <c:v>Murphy Introduciton to Chemical Processses p. 318</c:v>
                </c:pt>
                <c:pt idx="22">
                  <c:v>T[K]</c:v>
                </c:pt>
                <c:pt idx="23">
                  <c:v>300</c:v>
                </c:pt>
                <c:pt idx="24">
                  <c:v>400</c:v>
                </c:pt>
                <c:pt idx="25">
                  <c:v>500</c:v>
                </c:pt>
                <c:pt idx="26">
                  <c:v>600</c:v>
                </c:pt>
                <c:pt idx="27">
                  <c:v>700</c:v>
                </c:pt>
                <c:pt idx="28">
                  <c:v>800</c:v>
                </c:pt>
              </c:strCache>
            </c:strRef>
          </c:xVal>
          <c:yVal>
            <c:numRef>
              <c:f>例題6平衡定数アンモニア!$B$65:$B$92</c:f>
              <c:numCache>
                <c:formatCode>General</c:formatCode>
                <c:ptCount val="28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  <c:pt idx="10">
                  <c:v>0</c:v>
                </c:pt>
                <c:pt idx="11" formatCode="0.00E+00">
                  <c:v>680000</c:v>
                </c:pt>
                <c:pt idx="12">
                  <c:v>41</c:v>
                </c:pt>
                <c:pt idx="13" formatCode="0.00E+00">
                  <c:v>3.5999999999999997E-2</c:v>
                </c:pt>
                <c:pt idx="15">
                  <c:v>0</c:v>
                </c:pt>
                <c:pt idx="16" formatCode="0.00E+00">
                  <c:v>8.9299999999999992E-6</c:v>
                </c:pt>
                <c:pt idx="18">
                  <c:v>0</c:v>
                </c:pt>
                <c:pt idx="19" formatCode="0.00E+00">
                  <c:v>581000</c:v>
                </c:pt>
                <c:pt idx="20" formatCode="0.00E+00">
                  <c:v>2.8200000000000001E-7</c:v>
                </c:pt>
                <c:pt idx="22">
                  <c:v>0</c:v>
                </c:pt>
                <c:pt idx="23">
                  <c:v>514011.02827753447</c:v>
                </c:pt>
                <c:pt idx="24">
                  <c:v>49.402449105530103</c:v>
                </c:pt>
                <c:pt idx="25">
                  <c:v>0.19204990862075372</c:v>
                </c:pt>
                <c:pt idx="26">
                  <c:v>4.748150999411469E-3</c:v>
                </c:pt>
                <c:pt idx="27">
                  <c:v>3.3786736766244714E-4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8E31-4CD0-B5A3-2FD571877387}"/>
            </c:ext>
          </c:extLst>
        </c:ser>
        <c:ser>
          <c:idx val="2"/>
          <c:order val="42"/>
          <c:spPr>
            <a:ln w="19050">
              <a:noFill/>
            </a:ln>
          </c:spPr>
          <c:marker>
            <c:symbol val="square"/>
            <c:size val="8"/>
            <c:spPr>
              <a:noFill/>
              <a:ln>
                <a:solidFill>
                  <a:schemeClr val="tx1"/>
                </a:solidFill>
                <a:prstDash val="solid"/>
              </a:ln>
            </c:spPr>
          </c:marker>
          <c:xVal>
            <c:numRef>
              <c:f>例題6平衡定数アンモニア!$A$61:$A$62</c:f>
              <c:numCache>
                <c:formatCode>General</c:formatCode>
                <c:ptCount val="2"/>
                <c:pt idx="0">
                  <c:v>673</c:v>
                </c:pt>
                <c:pt idx="1">
                  <c:v>773</c:v>
                </c:pt>
              </c:numCache>
            </c:numRef>
          </c:xVal>
          <c:yVal>
            <c:numRef>
              <c:f>例題6平衡定数アンモニア!$B$61:$B$62</c:f>
              <c:numCache>
                <c:formatCode>0.00E+00</c:formatCode>
                <c:ptCount val="2"/>
                <c:pt idx="0">
                  <c:v>1.64E-4</c:v>
                </c:pt>
                <c:pt idx="1">
                  <c:v>1.4399999999999999E-5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8E31-4CD0-B5A3-2FD571877387}"/>
            </c:ext>
          </c:extLst>
        </c:ser>
        <c:ser>
          <c:idx val="4"/>
          <c:order val="43"/>
          <c:marker>
            <c:symbol val="x"/>
            <c:size val="7"/>
            <c:spPr>
              <a:noFill/>
              <a:ln>
                <a:solidFill>
                  <a:schemeClr val="accent2">
                    <a:lumMod val="75000"/>
                  </a:schemeClr>
                </a:solidFill>
              </a:ln>
            </c:spPr>
          </c:marker>
          <c:xVal>
            <c:numRef>
              <c:f>例題6平衡定数アンモニア!$A$76:$A$78</c:f>
              <c:numCache>
                <c:formatCode>General</c:formatCode>
                <c:ptCount val="3"/>
                <c:pt idx="0">
                  <c:v>298</c:v>
                </c:pt>
                <c:pt idx="1">
                  <c:v>400</c:v>
                </c:pt>
                <c:pt idx="2">
                  <c:v>500</c:v>
                </c:pt>
              </c:numCache>
            </c:numRef>
          </c:xVal>
          <c:yVal>
            <c:numRef>
              <c:f>例題6平衡定数アンモニア!$B$76:$B$78</c:f>
              <c:numCache>
                <c:formatCode>General</c:formatCode>
                <c:ptCount val="3"/>
                <c:pt idx="0" formatCode="0.00E+00">
                  <c:v>680000</c:v>
                </c:pt>
                <c:pt idx="1">
                  <c:v>41</c:v>
                </c:pt>
                <c:pt idx="2" formatCode="0.00E+00">
                  <c:v>3.5999999999999997E-2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8E31-4CD0-B5A3-2FD571877387}"/>
            </c:ext>
          </c:extLst>
        </c:ser>
        <c:ser>
          <c:idx val="3"/>
          <c:order val="44"/>
          <c:marker>
            <c:symbol val="triangle"/>
            <c:size val="8"/>
            <c:spPr>
              <a:solidFill>
                <a:srgbClr val="FF0000"/>
              </a:solidFill>
              <a:ln>
                <a:noFill/>
              </a:ln>
            </c:spPr>
          </c:marker>
          <c:xVal>
            <c:numRef>
              <c:f>例題6平衡定数アンモニア!$A$81</c:f>
              <c:numCache>
                <c:formatCode>General</c:formatCode>
                <c:ptCount val="1"/>
                <c:pt idx="0">
                  <c:v>800</c:v>
                </c:pt>
              </c:numCache>
            </c:numRef>
          </c:xVal>
          <c:yVal>
            <c:numRef>
              <c:f>例題6平衡定数アンモニア!$B$81</c:f>
              <c:numCache>
                <c:formatCode>0.00E+00</c:formatCode>
                <c:ptCount val="1"/>
                <c:pt idx="0">
                  <c:v>8.9299999999999992E-6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8E31-4CD0-B5A3-2FD571877387}"/>
            </c:ext>
          </c:extLst>
        </c:ser>
        <c:ser>
          <c:idx val="5"/>
          <c:order val="45"/>
          <c:spPr>
            <a:ln>
              <a:noFill/>
            </a:ln>
          </c:spPr>
          <c:marker>
            <c:symbol val="diamond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例題6平衡定数アンモニア!$A$84:$A$85</c:f>
              <c:numCache>
                <c:formatCode>General</c:formatCode>
                <c:ptCount val="2"/>
                <c:pt idx="0">
                  <c:v>298</c:v>
                </c:pt>
                <c:pt idx="1">
                  <c:v>1000</c:v>
                </c:pt>
              </c:numCache>
            </c:numRef>
          </c:xVal>
          <c:yVal>
            <c:numRef>
              <c:f>例題6平衡定数アンモニア!$B$84:$B$85</c:f>
              <c:numCache>
                <c:formatCode>0.00E+00</c:formatCode>
                <c:ptCount val="2"/>
                <c:pt idx="0">
                  <c:v>581000</c:v>
                </c:pt>
                <c:pt idx="1">
                  <c:v>2.8200000000000001E-7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8E31-4CD0-B5A3-2FD571877387}"/>
            </c:ext>
          </c:extLst>
        </c:ser>
        <c:ser>
          <c:idx val="6"/>
          <c:order val="46"/>
          <c:marker>
            <c:symbol val="none"/>
          </c:marker>
          <c:xVal>
            <c:numRef>
              <c:f>例題6平衡定数アンモニア!$A$88:$A$95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例題6平衡定数アンモニア!$B$88:$B$95</c:f>
              <c:numCache>
                <c:formatCode>General</c:formatCode>
                <c:ptCount val="8"/>
                <c:pt idx="0">
                  <c:v>514011.02827753447</c:v>
                </c:pt>
                <c:pt idx="1">
                  <c:v>49.402449105530103</c:v>
                </c:pt>
                <c:pt idx="2">
                  <c:v>0.19204990862075372</c:v>
                </c:pt>
                <c:pt idx="3">
                  <c:v>4.748150999411469E-3</c:v>
                </c:pt>
                <c:pt idx="4">
                  <c:v>3.3786736766244714E-4</c:v>
                </c:pt>
                <c:pt idx="5">
                  <c:v>4.654923445622269E-5</c:v>
                </c:pt>
                <c:pt idx="6">
                  <c:v>9.9626578787943985E-6</c:v>
                </c:pt>
                <c:pt idx="7">
                  <c:v>2.9023204086503985E-6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8E31-4CD0-B5A3-2FD571877387}"/>
            </c:ext>
          </c:extLst>
        </c:ser>
        <c:ser>
          <c:idx val="7"/>
          <c:order val="47"/>
          <c:spPr>
            <a:ln w="6350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例題6平衡定数アンモニア!$A$65:$A$73</c:f>
              <c:numCache>
                <c:formatCode>General</c:formatCode>
                <c:ptCount val="9"/>
                <c:pt idx="0">
                  <c:v>300</c:v>
                </c:pt>
                <c:pt idx="1">
                  <c:v>400</c:v>
                </c:pt>
                <c:pt idx="2">
                  <c:v>473.15</c:v>
                </c:pt>
                <c:pt idx="3">
                  <c:v>500</c:v>
                </c:pt>
                <c:pt idx="4">
                  <c:v>600</c:v>
                </c:pt>
                <c:pt idx="5">
                  <c:v>700</c:v>
                </c:pt>
                <c:pt idx="6">
                  <c:v>800</c:v>
                </c:pt>
                <c:pt idx="7">
                  <c:v>900</c:v>
                </c:pt>
                <c:pt idx="8">
                  <c:v>1000</c:v>
                </c:pt>
              </c:numCache>
            </c:numRef>
          </c:xVal>
          <c:yVal>
            <c:numRef>
              <c:f>例題6平衡定数アンモニア!$B$65:$B$73</c:f>
              <c:numCache>
                <c:formatCode>General</c:formatCode>
                <c:ptCount val="9"/>
                <c:pt idx="0">
                  <c:v>474888.36195581651</c:v>
                </c:pt>
                <c:pt idx="1">
                  <c:v>37.52142927670269</c:v>
                </c:pt>
                <c:pt idx="2">
                  <c:v>0.39766596207597338</c:v>
                </c:pt>
                <c:pt idx="3">
                  <c:v>0.10198218055209897</c:v>
                </c:pt>
                <c:pt idx="4">
                  <c:v>1.7304336070755801E-3</c:v>
                </c:pt>
                <c:pt idx="5">
                  <c:v>8.6522080691697149E-5</c:v>
                </c:pt>
                <c:pt idx="6">
                  <c:v>8.6751546424304045E-6</c:v>
                </c:pt>
                <c:pt idx="7">
                  <c:v>1.4010560327341177E-6</c:v>
                </c:pt>
                <c:pt idx="8">
                  <c:v>3.1857344096274878E-7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8E31-4CD0-B5A3-2FD571877387}"/>
            </c:ext>
          </c:extLst>
        </c:ser>
        <c:ser>
          <c:idx val="48"/>
          <c:order val="48"/>
          <c:spPr>
            <a:ln>
              <a:noFill/>
            </a:ln>
          </c:spPr>
          <c:marker>
            <c:symbol val="triangle"/>
            <c:size val="9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例題6平衡定数アンモニア!$A$98:$A$101</c:f>
              <c:numCache>
                <c:formatCode>General</c:formatCode>
                <c:ptCount val="4"/>
                <c:pt idx="0">
                  <c:v>400</c:v>
                </c:pt>
                <c:pt idx="1">
                  <c:v>500</c:v>
                </c:pt>
                <c:pt idx="2">
                  <c:v>700</c:v>
                </c:pt>
                <c:pt idx="3">
                  <c:v>900</c:v>
                </c:pt>
              </c:numCache>
            </c:numRef>
          </c:xVal>
          <c:yVal>
            <c:numRef>
              <c:f>例題6平衡定数アンモニア!$B$98:$B$101</c:f>
              <c:numCache>
                <c:formatCode>General</c:formatCode>
                <c:ptCount val="4"/>
                <c:pt idx="0">
                  <c:v>39.85</c:v>
                </c:pt>
                <c:pt idx="1">
                  <c:v>0.112</c:v>
                </c:pt>
                <c:pt idx="2" formatCode="0.00E+00">
                  <c:v>9.9500000000000006E-5</c:v>
                </c:pt>
                <c:pt idx="3" formatCode="0.00E+00">
                  <c:v>1.6500000000000001E-6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8E31-4CD0-B5A3-2FD571877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1413992"/>
        <c:axId val="381293984"/>
      </c:scatterChart>
      <c:valAx>
        <c:axId val="381413992"/>
        <c:scaling>
          <c:orientation val="minMax"/>
          <c:max val="1000"/>
          <c:min val="2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4786614856536423"/>
              <c:y val="0.889079151791422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293984"/>
        <c:crossesAt val="1E-8"/>
        <c:crossBetween val="midCat"/>
        <c:majorUnit val="100"/>
      </c:valAx>
      <c:valAx>
        <c:axId val="381293984"/>
        <c:scaling>
          <c:logBase val="10"/>
          <c:orientation val="minMax"/>
          <c:max val="1000000"/>
          <c:min val="9.9999999999999995E-8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K</a:t>
                </a:r>
              </a:p>
            </c:rich>
          </c:tx>
          <c:layout>
            <c:manualLayout>
              <c:xMode val="edge"/>
              <c:yMode val="edge"/>
              <c:x val="6.5789837328719802E-3"/>
              <c:y val="0.30888238743172941"/>
            </c:manualLayout>
          </c:layout>
          <c:overlay val="0"/>
          <c:spPr>
            <a:noFill/>
            <a:ln w="25400">
              <a:noFill/>
            </a:ln>
          </c:spPr>
        </c:title>
        <c:numFmt formatCode="0.E+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1413992"/>
        <c:crosses val="autoZero"/>
        <c:crossBetween val="midCat"/>
        <c:majorUnit val="10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257661156966634"/>
          <c:y val="0.16319173338626788"/>
          <c:w val="0.71185746553798734"/>
          <c:h val="0.65429137534278814"/>
        </c:manualLayout>
      </c:layout>
      <c:scatterChart>
        <c:scatterStyle val="smoothMarker"/>
        <c:varyColors val="0"/>
        <c:ser>
          <c:idx val="5"/>
          <c:order val="0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メタン水蒸気改質平衡定数!$B$43:$B$48</c:f>
              <c:numCache>
                <c:formatCode>General</c:formatCode>
                <c:ptCount val="6"/>
                <c:pt idx="0">
                  <c:v>0.189</c:v>
                </c:pt>
                <c:pt idx="1">
                  <c:v>0.46</c:v>
                </c:pt>
                <c:pt idx="2">
                  <c:v>0.753</c:v>
                </c:pt>
                <c:pt idx="3">
                  <c:v>0.90900000000000003</c:v>
                </c:pt>
                <c:pt idx="4">
                  <c:v>0.96599999999999997</c:v>
                </c:pt>
                <c:pt idx="5">
                  <c:v>0.98599999999999999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9D4-4AA7-BEC0-3BDFF8C63AF9}"/>
            </c:ext>
          </c:extLst>
        </c:ser>
        <c:ser>
          <c:idx val="6"/>
          <c:order val="1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メタン水蒸気改質平衡定数!$C$43:$C$48</c:f>
              <c:numCache>
                <c:formatCode>General</c:formatCode>
                <c:ptCount val="6"/>
                <c:pt idx="0">
                  <c:v>6.0999999999999999E-2</c:v>
                </c:pt>
                <c:pt idx="1">
                  <c:v>0.16200000000000001</c:v>
                </c:pt>
                <c:pt idx="2">
                  <c:v>0.34</c:v>
                </c:pt>
                <c:pt idx="3">
                  <c:v>0.56999999999999995</c:v>
                </c:pt>
                <c:pt idx="4">
                  <c:v>0.76400000000000001</c:v>
                </c:pt>
                <c:pt idx="5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99D4-4AA7-BEC0-3BDFF8C63AF9}"/>
            </c:ext>
          </c:extLst>
        </c:ser>
        <c:ser>
          <c:idx val="7"/>
          <c:order val="2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メタン水蒸気改質平衡定数!$P$35:$P$45</c:f>
              <c:numCache>
                <c:formatCode>General</c:formatCode>
                <c:ptCount val="11"/>
                <c:pt idx="0">
                  <c:v>6.1797266982500001E-2</c:v>
                </c:pt>
                <c:pt idx="1">
                  <c:v>0.10448066025199999</c:v>
                </c:pt>
                <c:pt idx="2">
                  <c:v>0.16511334630999999</c:v>
                </c:pt>
                <c:pt idx="3">
                  <c:v>0.246483199111</c:v>
                </c:pt>
                <c:pt idx="4">
                  <c:v>0.34781017582700002</c:v>
                </c:pt>
                <c:pt idx="5">
                  <c:v>0.46238701717199998</c:v>
                </c:pt>
                <c:pt idx="6">
                  <c:v>0.57901280427799995</c:v>
                </c:pt>
                <c:pt idx="7">
                  <c:v>0.68554312612400004</c:v>
                </c:pt>
                <c:pt idx="8">
                  <c:v>0.77321968461000001</c:v>
                </c:pt>
                <c:pt idx="9">
                  <c:v>0.83974535018499996</c:v>
                </c:pt>
                <c:pt idx="10">
                  <c:v>0.88705102399299995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99D4-4AA7-BEC0-3BDFF8C63AF9}"/>
            </c:ext>
          </c:extLst>
        </c:ser>
        <c:ser>
          <c:idx val="8"/>
          <c:order val="3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メタン水蒸気改質平衡定数!$Q$35:$Q$45</c:f>
              <c:numCache>
                <c:formatCode>General</c:formatCode>
                <c:ptCount val="11"/>
                <c:pt idx="0">
                  <c:v>0.193076359615</c:v>
                </c:pt>
                <c:pt idx="1">
                  <c:v>0.31597028640699998</c:v>
                </c:pt>
                <c:pt idx="2">
                  <c:v>0.46817284338699999</c:v>
                </c:pt>
                <c:pt idx="3">
                  <c:v>0.62799795750099996</c:v>
                </c:pt>
                <c:pt idx="4">
                  <c:v>0.76251244092799997</c:v>
                </c:pt>
                <c:pt idx="5">
                  <c:v>0.85543649555900003</c:v>
                </c:pt>
                <c:pt idx="6">
                  <c:v>0.91385458534899999</c:v>
                </c:pt>
                <c:pt idx="7">
                  <c:v>0.94797877823700005</c:v>
                </c:pt>
                <c:pt idx="8">
                  <c:v>0.96803784009399996</c:v>
                </c:pt>
                <c:pt idx="9">
                  <c:v>0.979759986794</c:v>
                </c:pt>
                <c:pt idx="10">
                  <c:v>0.98678710185499996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99D4-4AA7-BEC0-3BDFF8C63AF9}"/>
            </c:ext>
          </c:extLst>
        </c:ser>
        <c:ser>
          <c:idx val="9"/>
          <c:order val="4"/>
          <c:marker>
            <c:symbol val="none"/>
          </c:marker>
          <c:xVal>
            <c:numRef>
              <c:f>メタン水蒸気改質平衡定数!$O$43</c:f>
              <c:numCache>
                <c:formatCode>General</c:formatCode>
                <c:ptCount val="1"/>
                <c:pt idx="0">
                  <c:v>900</c:v>
                </c:pt>
              </c:numCache>
            </c:numRef>
          </c:xVal>
          <c:yVal>
            <c:numRef>
              <c:f>メタン水蒸気改質平衡定数!$P$43</c:f>
              <c:numCache>
                <c:formatCode>General</c:formatCode>
                <c:ptCount val="1"/>
                <c:pt idx="0">
                  <c:v>0.77321968461000001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4-99D4-4AA7-BEC0-3BDFF8C63AF9}"/>
            </c:ext>
          </c:extLst>
        </c:ser>
        <c:ser>
          <c:idx val="10"/>
          <c:order val="5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メタン水蒸気改質平衡定数!$B$43:$B$48</c:f>
              <c:numCache>
                <c:formatCode>General</c:formatCode>
                <c:ptCount val="6"/>
                <c:pt idx="0">
                  <c:v>0.189</c:v>
                </c:pt>
                <c:pt idx="1">
                  <c:v>0.46</c:v>
                </c:pt>
                <c:pt idx="2">
                  <c:v>0.753</c:v>
                </c:pt>
                <c:pt idx="3">
                  <c:v>0.90900000000000003</c:v>
                </c:pt>
                <c:pt idx="4">
                  <c:v>0.96599999999999997</c:v>
                </c:pt>
                <c:pt idx="5">
                  <c:v>0.98599999999999999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99D4-4AA7-BEC0-3BDFF8C63AF9}"/>
            </c:ext>
          </c:extLst>
        </c:ser>
        <c:ser>
          <c:idx val="11"/>
          <c:order val="6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メタン水蒸気改質平衡定数!$C$43:$C$48</c:f>
              <c:numCache>
                <c:formatCode>General</c:formatCode>
                <c:ptCount val="6"/>
                <c:pt idx="0">
                  <c:v>6.0999999999999999E-2</c:v>
                </c:pt>
                <c:pt idx="1">
                  <c:v>0.16200000000000001</c:v>
                </c:pt>
                <c:pt idx="2">
                  <c:v>0.34</c:v>
                </c:pt>
                <c:pt idx="3">
                  <c:v>0.56999999999999995</c:v>
                </c:pt>
                <c:pt idx="4">
                  <c:v>0.76400000000000001</c:v>
                </c:pt>
                <c:pt idx="5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6-99D4-4AA7-BEC0-3BDFF8C63AF9}"/>
            </c:ext>
          </c:extLst>
        </c:ser>
        <c:ser>
          <c:idx val="12"/>
          <c:order val="7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メタン水蒸気改質平衡定数!$P$35:$P$45</c:f>
              <c:numCache>
                <c:formatCode>General</c:formatCode>
                <c:ptCount val="11"/>
                <c:pt idx="0">
                  <c:v>6.1797266982500001E-2</c:v>
                </c:pt>
                <c:pt idx="1">
                  <c:v>0.10448066025199999</c:v>
                </c:pt>
                <c:pt idx="2">
                  <c:v>0.16511334630999999</c:v>
                </c:pt>
                <c:pt idx="3">
                  <c:v>0.246483199111</c:v>
                </c:pt>
                <c:pt idx="4">
                  <c:v>0.34781017582700002</c:v>
                </c:pt>
                <c:pt idx="5">
                  <c:v>0.46238701717199998</c:v>
                </c:pt>
                <c:pt idx="6">
                  <c:v>0.57901280427799995</c:v>
                </c:pt>
                <c:pt idx="7">
                  <c:v>0.68554312612400004</c:v>
                </c:pt>
                <c:pt idx="8">
                  <c:v>0.77321968461000001</c:v>
                </c:pt>
                <c:pt idx="9">
                  <c:v>0.83974535018499996</c:v>
                </c:pt>
                <c:pt idx="10">
                  <c:v>0.88705102399299995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99D4-4AA7-BEC0-3BDFF8C63AF9}"/>
            </c:ext>
          </c:extLst>
        </c:ser>
        <c:ser>
          <c:idx val="13"/>
          <c:order val="8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メタン水蒸気改質平衡定数!$Q$35:$Q$45</c:f>
              <c:numCache>
                <c:formatCode>General</c:formatCode>
                <c:ptCount val="11"/>
                <c:pt idx="0">
                  <c:v>0.193076359615</c:v>
                </c:pt>
                <c:pt idx="1">
                  <c:v>0.31597028640699998</c:v>
                </c:pt>
                <c:pt idx="2">
                  <c:v>0.46817284338699999</c:v>
                </c:pt>
                <c:pt idx="3">
                  <c:v>0.62799795750099996</c:v>
                </c:pt>
                <c:pt idx="4">
                  <c:v>0.76251244092799997</c:v>
                </c:pt>
                <c:pt idx="5">
                  <c:v>0.85543649555900003</c:v>
                </c:pt>
                <c:pt idx="6">
                  <c:v>0.91385458534899999</c:v>
                </c:pt>
                <c:pt idx="7">
                  <c:v>0.94797877823700005</c:v>
                </c:pt>
                <c:pt idx="8">
                  <c:v>0.96803784009399996</c:v>
                </c:pt>
                <c:pt idx="9">
                  <c:v>0.979759986794</c:v>
                </c:pt>
                <c:pt idx="10">
                  <c:v>0.98678710185499996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8-99D4-4AA7-BEC0-3BDFF8C63AF9}"/>
            </c:ext>
          </c:extLst>
        </c:ser>
        <c:ser>
          <c:idx val="14"/>
          <c:order val="9"/>
          <c:marker>
            <c:symbol val="none"/>
          </c:marker>
          <c:xVal>
            <c:numRef>
              <c:f>メタン水蒸気改質平衡定数!$O$43</c:f>
              <c:numCache>
                <c:formatCode>General</c:formatCode>
                <c:ptCount val="1"/>
                <c:pt idx="0">
                  <c:v>900</c:v>
                </c:pt>
              </c:numCache>
            </c:numRef>
          </c:xVal>
          <c:yVal>
            <c:numRef>
              <c:f>メタン水蒸気改質平衡定数!$P$43</c:f>
              <c:numCache>
                <c:formatCode>General</c:formatCode>
                <c:ptCount val="1"/>
                <c:pt idx="0">
                  <c:v>0.77321968461000001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99D4-4AA7-BEC0-3BDFF8C63AF9}"/>
            </c:ext>
          </c:extLst>
        </c:ser>
        <c:ser>
          <c:idx val="0"/>
          <c:order val="10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メタン水蒸気改質平衡定数!$B$43:$B$48</c:f>
              <c:numCache>
                <c:formatCode>General</c:formatCode>
                <c:ptCount val="6"/>
                <c:pt idx="0">
                  <c:v>0.189</c:v>
                </c:pt>
                <c:pt idx="1">
                  <c:v>0.46</c:v>
                </c:pt>
                <c:pt idx="2">
                  <c:v>0.753</c:v>
                </c:pt>
                <c:pt idx="3">
                  <c:v>0.90900000000000003</c:v>
                </c:pt>
                <c:pt idx="4">
                  <c:v>0.96599999999999997</c:v>
                </c:pt>
                <c:pt idx="5">
                  <c:v>0.98599999999999999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A-99D4-4AA7-BEC0-3BDFF8C63AF9}"/>
            </c:ext>
          </c:extLst>
        </c:ser>
        <c:ser>
          <c:idx val="1"/>
          <c:order val="11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メタン水蒸気改質平衡定数!$C$43:$C$48</c:f>
              <c:numCache>
                <c:formatCode>General</c:formatCode>
                <c:ptCount val="6"/>
                <c:pt idx="0">
                  <c:v>6.0999999999999999E-2</c:v>
                </c:pt>
                <c:pt idx="1">
                  <c:v>0.16200000000000001</c:v>
                </c:pt>
                <c:pt idx="2">
                  <c:v>0.34</c:v>
                </c:pt>
                <c:pt idx="3">
                  <c:v>0.56999999999999995</c:v>
                </c:pt>
                <c:pt idx="4">
                  <c:v>0.76400000000000001</c:v>
                </c:pt>
                <c:pt idx="5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99D4-4AA7-BEC0-3BDFF8C63AF9}"/>
            </c:ext>
          </c:extLst>
        </c:ser>
        <c:ser>
          <c:idx val="2"/>
          <c:order val="12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メタン水蒸気改質平衡定数!$P$35:$P$45</c:f>
              <c:numCache>
                <c:formatCode>General</c:formatCode>
                <c:ptCount val="11"/>
                <c:pt idx="0">
                  <c:v>6.1797266982500001E-2</c:v>
                </c:pt>
                <c:pt idx="1">
                  <c:v>0.10448066025199999</c:v>
                </c:pt>
                <c:pt idx="2">
                  <c:v>0.16511334630999999</c:v>
                </c:pt>
                <c:pt idx="3">
                  <c:v>0.246483199111</c:v>
                </c:pt>
                <c:pt idx="4">
                  <c:v>0.34781017582700002</c:v>
                </c:pt>
                <c:pt idx="5">
                  <c:v>0.46238701717199998</c:v>
                </c:pt>
                <c:pt idx="6">
                  <c:v>0.57901280427799995</c:v>
                </c:pt>
                <c:pt idx="7">
                  <c:v>0.68554312612400004</c:v>
                </c:pt>
                <c:pt idx="8">
                  <c:v>0.77321968461000001</c:v>
                </c:pt>
                <c:pt idx="9">
                  <c:v>0.83974535018499996</c:v>
                </c:pt>
                <c:pt idx="10">
                  <c:v>0.88705102399299995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C-99D4-4AA7-BEC0-3BDFF8C63AF9}"/>
            </c:ext>
          </c:extLst>
        </c:ser>
        <c:ser>
          <c:idx val="3"/>
          <c:order val="13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メタン水蒸気改質平衡定数!$O$35:$O$45</c:f>
              <c:numCache>
                <c:formatCode>General</c:formatCode>
                <c:ptCount val="11"/>
                <c:pt idx="0">
                  <c:v>500</c:v>
                </c:pt>
                <c:pt idx="1">
                  <c:v>550</c:v>
                </c:pt>
                <c:pt idx="2">
                  <c:v>600</c:v>
                </c:pt>
                <c:pt idx="3">
                  <c:v>650</c:v>
                </c:pt>
                <c:pt idx="4">
                  <c:v>700</c:v>
                </c:pt>
                <c:pt idx="5">
                  <c:v>750</c:v>
                </c:pt>
                <c:pt idx="6">
                  <c:v>800</c:v>
                </c:pt>
                <c:pt idx="7">
                  <c:v>850</c:v>
                </c:pt>
                <c:pt idx="8">
                  <c:v>900</c:v>
                </c:pt>
                <c:pt idx="9">
                  <c:v>950</c:v>
                </c:pt>
                <c:pt idx="10">
                  <c:v>1000</c:v>
                </c:pt>
              </c:numCache>
            </c:numRef>
          </c:xVal>
          <c:yVal>
            <c:numRef>
              <c:f>メタン水蒸気改質平衡定数!$Q$35:$Q$45</c:f>
              <c:numCache>
                <c:formatCode>General</c:formatCode>
                <c:ptCount val="11"/>
                <c:pt idx="0">
                  <c:v>0.193076359615</c:v>
                </c:pt>
                <c:pt idx="1">
                  <c:v>0.31597028640699998</c:v>
                </c:pt>
                <c:pt idx="2">
                  <c:v>0.46817284338699999</c:v>
                </c:pt>
                <c:pt idx="3">
                  <c:v>0.62799795750099996</c:v>
                </c:pt>
                <c:pt idx="4">
                  <c:v>0.76251244092799997</c:v>
                </c:pt>
                <c:pt idx="5">
                  <c:v>0.85543649555900003</c:v>
                </c:pt>
                <c:pt idx="6">
                  <c:v>0.91385458534899999</c:v>
                </c:pt>
                <c:pt idx="7">
                  <c:v>0.94797877823700005</c:v>
                </c:pt>
                <c:pt idx="8">
                  <c:v>0.96803784009399996</c:v>
                </c:pt>
                <c:pt idx="9">
                  <c:v>0.979759986794</c:v>
                </c:pt>
                <c:pt idx="10">
                  <c:v>0.98678710185499996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99D4-4AA7-BEC0-3BDFF8C63A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350479"/>
        <c:axId val="1"/>
      </c:scatterChart>
      <c:valAx>
        <c:axId val="1181350479"/>
        <c:scaling>
          <c:orientation val="minMax"/>
          <c:max val="1000"/>
          <c:min val="500"/>
        </c:scaling>
        <c:delete val="0"/>
        <c:axPos val="b"/>
        <c:title>
          <c:tx>
            <c:rich>
              <a:bodyPr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100" b="0" i="0" u="none" strike="noStrike" kern="1200" baseline="0">
                    <a:solidFill>
                      <a:srgbClr val="000000"/>
                    </a:solidFill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defRPr>
                </a:pPr>
                <a:r>
                  <a:rPr lang="en-US" altLang="ja-JP" sz="1100" b="0" i="0" baseline="0">
                    <a:effectLst/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Temp. </a:t>
                </a:r>
                <a:r>
                  <a:rPr lang="ja-JP" altLang="ja-JP" sz="1100" b="0" i="0" baseline="0">
                    <a:effectLst/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 [</a:t>
                </a:r>
                <a:r>
                  <a:rPr lang="en-US" altLang="ja-JP" sz="1100" b="0" i="0" baseline="0">
                    <a:effectLst/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°C</a:t>
                </a:r>
                <a:r>
                  <a:rPr lang="ja-JP" altLang="ja-JP" sz="1100" b="0" i="0" baseline="0">
                    <a:effectLst/>
                    <a:latin typeface="Arial" panose="020B0604020202020204" pitchFamily="34" charset="0"/>
                    <a:ea typeface="Arial Unicode MS" panose="020B0604020202020204" pitchFamily="50" charset="-128"/>
                    <a:cs typeface="Arial" panose="020B0604020202020204" pitchFamily="34" charset="0"/>
                  </a:rPr>
                  <a:t> ]</a:t>
                </a:r>
                <a:endParaRPr lang="ja-JP" altLang="ja-JP" sz="1100">
                  <a:effectLst/>
                  <a:latin typeface="Arial" panose="020B0604020202020204" pitchFamily="34" charset="0"/>
                  <a:ea typeface="Arial Unicode MS" panose="020B0604020202020204" pitchFamily="50" charset="-128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0.43709218807326505"/>
              <c:y val="0.8877761678136010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ajorUnit val="100"/>
        <c:minorUnit val="50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noFill/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>
                    <a:latin typeface="Arial" panose="020B0604020202020204" pitchFamily="34" charset="0"/>
                    <a:cs typeface="Arial" panose="020B0604020202020204" pitchFamily="34" charset="0"/>
                  </a:rPr>
                  <a:t>CH</a:t>
                </a:r>
                <a:r>
                  <a:rPr lang="en-US" altLang="ja-JP" baseline="-25000">
                    <a:latin typeface="Arial" panose="020B0604020202020204" pitchFamily="34" charset="0"/>
                    <a:cs typeface="Arial" panose="020B0604020202020204" pitchFamily="34" charset="0"/>
                  </a:rPr>
                  <a:t>4</a:t>
                </a:r>
                <a:r>
                  <a:rPr lang="en-US" altLang="ja-JP">
                    <a:latin typeface="Arial" panose="020B0604020202020204" pitchFamily="34" charset="0"/>
                    <a:cs typeface="Arial" panose="020B0604020202020204" pitchFamily="34" charset="0"/>
                  </a:rPr>
                  <a:t> conversion</a:t>
                </a:r>
                <a:endParaRPr lang="ja-JP" altLang="en-US"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layout>
            <c:manualLayout>
              <c:xMode val="edge"/>
              <c:yMode val="edge"/>
              <c:x val="1.1927403473632303E-2"/>
              <c:y val="0.2485225917008308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181350479"/>
        <c:crosses val="autoZero"/>
        <c:crossBetween val="midCat"/>
        <c:majorUnit val="0.2"/>
        <c:minorUnit val="0.1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428600173581536"/>
          <c:y val="5.8823754686560537E-2"/>
          <c:w val="0.7390119803453119"/>
          <c:h val="0.7137282235302677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メタノール合成反応平衡定数!$B$43:$H$43</c:f>
              <c:numCache>
                <c:formatCode>General</c:formatCode>
                <c:ptCount val="7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</c:numCache>
            </c:numRef>
          </c:xVal>
          <c:yVal>
            <c:numRef>
              <c:f>メタノール合成反応平衡定数!$B$42:$H$42</c:f>
              <c:numCache>
                <c:formatCode>General</c:formatCode>
                <c:ptCount val="7"/>
                <c:pt idx="0">
                  <c:v>0.99</c:v>
                </c:pt>
                <c:pt idx="1">
                  <c:v>0.97499999999999998</c:v>
                </c:pt>
                <c:pt idx="2">
                  <c:v>0.93</c:v>
                </c:pt>
                <c:pt idx="3">
                  <c:v>0.83499999999999996</c:v>
                </c:pt>
                <c:pt idx="4">
                  <c:v>0.65</c:v>
                </c:pt>
                <c:pt idx="5">
                  <c:v>0.375</c:v>
                </c:pt>
                <c:pt idx="6">
                  <c:v>0.14899999999999999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50A6-45DD-A3F7-A1FB3579D6A3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メタノール合成反応平衡定数!$B$43:$H$43</c:f>
              <c:numCache>
                <c:formatCode>General</c:formatCode>
                <c:ptCount val="7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</c:numCache>
            </c:numRef>
          </c:xVal>
          <c:yVal>
            <c:numRef>
              <c:f>メタノール合成反応平衡定数!$B$41:$H$41</c:f>
              <c:numCache>
                <c:formatCode>General</c:formatCode>
                <c:ptCount val="7"/>
                <c:pt idx="0">
                  <c:v>0.98</c:v>
                </c:pt>
                <c:pt idx="1">
                  <c:v>0.95899999999999996</c:v>
                </c:pt>
                <c:pt idx="2">
                  <c:v>0.88</c:v>
                </c:pt>
                <c:pt idx="3">
                  <c:v>0.72299999999999998</c:v>
                </c:pt>
                <c:pt idx="4">
                  <c:v>0.43</c:v>
                </c:pt>
                <c:pt idx="5">
                  <c:v>0.16</c:v>
                </c:pt>
                <c:pt idx="6">
                  <c:v>4.4999999999999998E-2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50A6-45DD-A3F7-A1FB3579D6A3}"/>
            </c:ext>
          </c:extLst>
        </c:ser>
        <c:ser>
          <c:idx val="2"/>
          <c:order val="2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メタノール合成反応平衡定数!$B$43:$H$43</c:f>
              <c:numCache>
                <c:formatCode>General</c:formatCode>
                <c:ptCount val="7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</c:numCache>
            </c:numRef>
          </c:xVal>
          <c:yVal>
            <c:numRef>
              <c:f>メタノール合成反応平衡定数!$B$40:$H$40</c:f>
              <c:numCache>
                <c:formatCode>General</c:formatCode>
                <c:ptCount val="7"/>
                <c:pt idx="0">
                  <c:v>0.94299999999999995</c:v>
                </c:pt>
                <c:pt idx="1">
                  <c:v>0.78800000000000003</c:v>
                </c:pt>
                <c:pt idx="2">
                  <c:v>0.40489999999999998</c:v>
                </c:pt>
                <c:pt idx="3">
                  <c:v>7.9600000000000004E-2</c:v>
                </c:pt>
                <c:pt idx="4">
                  <c:v>1.1955E-2</c:v>
                </c:pt>
                <c:pt idx="6">
                  <c:v>4.8899999999999996E-4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50A6-45DD-A3F7-A1FB3579D6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780223"/>
        <c:axId val="1"/>
      </c:scatterChart>
      <c:valAx>
        <c:axId val="1177780223"/>
        <c:scaling>
          <c:orientation val="minMax"/>
          <c:max val="400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 ℃]</a:t>
                </a:r>
              </a:p>
            </c:rich>
          </c:tx>
          <c:layout>
            <c:manualLayout>
              <c:xMode val="edge"/>
              <c:yMode val="edge"/>
              <c:x val="0.45238152923192293"/>
              <c:y val="0.8875849930523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0"/>
        <c:minorUnit val="50"/>
      </c:valAx>
      <c:valAx>
        <c:axId val="1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CO</a:t>
                </a:r>
                <a:r>
                  <a:rPr lang="ja-JP" altLang="en-US"/>
                  <a:t>反応率</a:t>
                </a:r>
              </a:p>
            </c:rich>
          </c:tx>
          <c:layout>
            <c:manualLayout>
              <c:xMode val="edge"/>
              <c:yMode val="edge"/>
              <c:x val="3.021978021978022E-2"/>
              <c:y val="0.2052295815964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177780223"/>
        <c:crosses val="autoZero"/>
        <c:crossBetween val="midCat"/>
        <c:majorUnit val="0.2"/>
        <c:minorUnit val="0.1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27272727272727"/>
          <c:y val="5.4794612175279887E-2"/>
          <c:w val="0.71657754010695185"/>
          <c:h val="0.7089052950176835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メタノール合成反応平衡定数!$A$46:$A$53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メタノール合成反応平衡定数!$B$46:$B$53</c:f>
              <c:numCache>
                <c:formatCode>General</c:formatCode>
                <c:ptCount val="8"/>
                <c:pt idx="0">
                  <c:v>22452</c:v>
                </c:pt>
                <c:pt idx="1">
                  <c:v>2.04</c:v>
                </c:pt>
                <c:pt idx="2">
                  <c:v>5.94E-3</c:v>
                </c:pt>
                <c:pt idx="3">
                  <c:v>1.05E-4</c:v>
                </c:pt>
                <c:pt idx="4" formatCode="0.00E+00">
                  <c:v>5.3399999999999997E-6</c:v>
                </c:pt>
                <c:pt idx="5" formatCode="0.00E+00">
                  <c:v>5.4099999999999999E-7</c:v>
                </c:pt>
                <c:pt idx="6" formatCode="0.00E+00">
                  <c:v>8.7600000000000004E-8</c:v>
                </c:pt>
                <c:pt idx="7" formatCode="0.00E+00">
                  <c:v>1.9799999999999999E-8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08D-4852-8B5E-7AA08A90C6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783551"/>
        <c:axId val="1"/>
      </c:scatterChart>
      <c:valAx>
        <c:axId val="1177783551"/>
        <c:scaling>
          <c:orientation val="minMax"/>
          <c:max val="100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/>
                    <a:ea typeface="ＭＳ Ｐゴシック"/>
                    <a:cs typeface="Arial"/>
                  </a:rPr>
                  <a:t> [K]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48663129675635464"/>
              <c:y val="0.88013842447776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At val="1E-8"/>
        <c:crossBetween val="midCat"/>
        <c:majorUnit val="100"/>
      </c:valAx>
      <c:valAx>
        <c:axId val="1"/>
        <c:scaling>
          <c:logBase val="10"/>
          <c:orientation val="minMax"/>
          <c:max val="100000"/>
          <c:min val="9.9999999999999995E-8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/>
                    <a:ea typeface="ＭＳ Ｐゴシック"/>
                    <a:cs typeface="Arial"/>
                  </a:rPr>
                  <a:t>K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2.4064171122994651E-2"/>
              <c:y val="0.26712400675942904"/>
            </c:manualLayout>
          </c:layout>
          <c:overlay val="0"/>
          <c:spPr>
            <a:noFill/>
            <a:ln w="25400">
              <a:noFill/>
            </a:ln>
          </c:spPr>
        </c:title>
        <c:numFmt formatCode="0.E+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77783551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ja-JP" altLang="en-US"/>
              <a:t>メタノール合成反応平衡定数</a:t>
            </a:r>
          </a:p>
        </c:rich>
      </c:tx>
      <c:layout>
        <c:manualLayout>
          <c:xMode val="edge"/>
          <c:yMode val="edge"/>
          <c:x val="0.33422440645944312"/>
          <c:y val="8.904109589041095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2727272727272727"/>
          <c:y val="5.4794612175279887E-2"/>
          <c:w val="0.71657754010695185"/>
          <c:h val="0.7089052950176835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メタノール合成反応平衡定数!$A$46:$A$53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メタノール合成反応平衡定数!$B$46:$B$53</c:f>
              <c:numCache>
                <c:formatCode>General</c:formatCode>
                <c:ptCount val="8"/>
                <c:pt idx="0">
                  <c:v>22452</c:v>
                </c:pt>
                <c:pt idx="1">
                  <c:v>2.04</c:v>
                </c:pt>
                <c:pt idx="2">
                  <c:v>5.94E-3</c:v>
                </c:pt>
                <c:pt idx="3">
                  <c:v>1.05E-4</c:v>
                </c:pt>
                <c:pt idx="4" formatCode="0.00E+00">
                  <c:v>5.3399999999999997E-6</c:v>
                </c:pt>
                <c:pt idx="5" formatCode="0.00E+00">
                  <c:v>5.4099999999999999E-7</c:v>
                </c:pt>
                <c:pt idx="6" formatCode="0.00E+00">
                  <c:v>8.7600000000000004E-8</c:v>
                </c:pt>
                <c:pt idx="7" formatCode="0.00E+00">
                  <c:v>1.9799999999999999E-8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47-4F41-B4C3-DA969C9A6FD3}"/>
            </c:ext>
          </c:extLst>
        </c:ser>
        <c:ser>
          <c:idx val="1"/>
          <c:order val="1"/>
          <c:spPr>
            <a:ln>
              <a:solidFill>
                <a:srgbClr val="FF0000"/>
              </a:solidFill>
            </a:ln>
          </c:spPr>
          <c:marker>
            <c:symbol val="x"/>
            <c:size val="5"/>
          </c:marker>
          <c:xVal>
            <c:numRef>
              <c:f>メタノール合成反応平衡定数!$A$59:$A$62</c:f>
              <c:numCache>
                <c:formatCode>General</c:formatCode>
                <c:ptCount val="4"/>
                <c:pt idx="0">
                  <c:v>473</c:v>
                </c:pt>
                <c:pt idx="1">
                  <c:v>483</c:v>
                </c:pt>
                <c:pt idx="2">
                  <c:v>493</c:v>
                </c:pt>
                <c:pt idx="3">
                  <c:v>503</c:v>
                </c:pt>
              </c:numCache>
            </c:numRef>
          </c:xVal>
          <c:yVal>
            <c:numRef>
              <c:f>メタノール合成反応平衡定数!$B$59:$B$62</c:f>
              <c:numCache>
                <c:formatCode>0.00E+00</c:formatCode>
                <c:ptCount val="4"/>
                <c:pt idx="0">
                  <c:v>2.4E-2</c:v>
                </c:pt>
                <c:pt idx="1">
                  <c:v>1.4999999999999999E-2</c:v>
                </c:pt>
                <c:pt idx="2">
                  <c:v>9.2499999999999995E-3</c:v>
                </c:pt>
                <c:pt idx="3">
                  <c:v>5.8199999999999997E-3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147-4F41-B4C3-DA969C9A6FD3}"/>
            </c:ext>
          </c:extLst>
        </c:ser>
        <c:ser>
          <c:idx val="2"/>
          <c:order val="2"/>
          <c:marker>
            <c:symbol val="circle"/>
            <c:size val="6"/>
            <c:spPr>
              <a:noFill/>
              <a:ln>
                <a:solidFill>
                  <a:schemeClr val="tx1"/>
                </a:solidFill>
              </a:ln>
            </c:spPr>
          </c:marker>
          <c:xVal>
            <c:numRef>
              <c:f>メタノール合成反応平衡定数!$C$59:$C$63</c:f>
              <c:numCache>
                <c:formatCode>General</c:formatCode>
                <c:ptCount val="5"/>
                <c:pt idx="0">
                  <c:v>300</c:v>
                </c:pt>
                <c:pt idx="1">
                  <c:v>400</c:v>
                </c:pt>
                <c:pt idx="2">
                  <c:v>600</c:v>
                </c:pt>
                <c:pt idx="3">
                  <c:v>800</c:v>
                </c:pt>
                <c:pt idx="4">
                  <c:v>1000</c:v>
                </c:pt>
              </c:numCache>
            </c:numRef>
          </c:xVal>
          <c:yVal>
            <c:numRef>
              <c:f>メタノール合成反応平衡定数!$D$59:$D$63</c:f>
              <c:numCache>
                <c:formatCode>General</c:formatCode>
                <c:ptCount val="5"/>
                <c:pt idx="0">
                  <c:v>16317.607198015421</c:v>
                </c:pt>
                <c:pt idx="1">
                  <c:v>2.7182818284590451</c:v>
                </c:pt>
                <c:pt idx="2">
                  <c:v>3.3546262790251185E-4</c:v>
                </c:pt>
                <c:pt idx="3">
                  <c:v>3.7266531720786709E-6</c:v>
                </c:pt>
                <c:pt idx="4">
                  <c:v>3.0590232050182579E-7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D147-4F41-B4C3-DA969C9A6FD3}"/>
            </c:ext>
          </c:extLst>
        </c:ser>
        <c:ser>
          <c:idx val="3"/>
          <c:order val="3"/>
          <c:marker>
            <c:symbol val="none"/>
          </c:marker>
          <c:xVal>
            <c:numRef>
              <c:f>メタノール合成反応平衡定数!$E$59:$E$66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メタノール合成反応平衡定数!$F$59:$F$66</c:f>
              <c:numCache>
                <c:formatCode>General</c:formatCode>
                <c:ptCount val="8"/>
                <c:pt idx="0">
                  <c:v>40166.263353456656</c:v>
                </c:pt>
                <c:pt idx="1">
                  <c:v>2.1332043003235976</c:v>
                </c:pt>
                <c:pt idx="2">
                  <c:v>5.8084905851408858E-3</c:v>
                </c:pt>
                <c:pt idx="3">
                  <c:v>1.1324126813592642E-4</c:v>
                </c:pt>
                <c:pt idx="4">
                  <c:v>6.7991646661350547E-6</c:v>
                </c:pt>
                <c:pt idx="5">
                  <c:v>8.245518428346197E-7</c:v>
                </c:pt>
                <c:pt idx="6">
                  <c:v>1.5977797055756422E-7</c:v>
                </c:pt>
                <c:pt idx="7">
                  <c:v>4.2982160795709155E-8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D147-4F41-B4C3-DA969C9A6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344239"/>
        <c:axId val="1"/>
      </c:scatterChart>
      <c:valAx>
        <c:axId val="1181344239"/>
        <c:scaling>
          <c:orientation val="minMax"/>
          <c:max val="100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/>
                    <a:ea typeface="ＭＳ Ｐゴシック"/>
                    <a:cs typeface="Arial"/>
                  </a:rPr>
                  <a:t> [K]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48663091373259437"/>
              <c:y val="0.88013842447776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At val="1E-8"/>
        <c:crossBetween val="midCat"/>
        <c:majorUnit val="100"/>
      </c:valAx>
      <c:valAx>
        <c:axId val="1"/>
        <c:scaling>
          <c:logBase val="10"/>
          <c:orientation val="minMax"/>
          <c:max val="1000000"/>
          <c:min val="9.9999999999999995E-8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/>
                    <a:ea typeface="ＭＳ Ｐゴシック"/>
                    <a:cs typeface="Arial"/>
                  </a:rPr>
                  <a:t>K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2.406423570629981E-2"/>
              <c:y val="0.26712364721533094"/>
            </c:manualLayout>
          </c:layout>
          <c:overlay val="0"/>
          <c:spPr>
            <a:noFill/>
            <a:ln w="25400">
              <a:noFill/>
            </a:ln>
          </c:spPr>
        </c:title>
        <c:numFmt formatCode="0.E+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81344239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727272727272727"/>
          <c:y val="5.4794612175279887E-2"/>
          <c:w val="0.71657754010695185"/>
          <c:h val="0.70890529501768351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メタノール合成反応平衡定数!$A$46:$A$53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メタノール合成反応平衡定数!$E$46:$E$53</c:f>
              <c:numCache>
                <c:formatCode>General</c:formatCode>
                <c:ptCount val="8"/>
                <c:pt idx="0">
                  <c:v>4.351255033547635</c:v>
                </c:pt>
                <c:pt idx="1">
                  <c:v>0.30963016742589877</c:v>
                </c:pt>
                <c:pt idx="2">
                  <c:v>-2.2262135550188065</c:v>
                </c:pt>
                <c:pt idx="3">
                  <c:v>-3.9788107009300617</c:v>
                </c:pt>
                <c:pt idx="4">
                  <c:v>-5.2724587429714438</c:v>
                </c:pt>
                <c:pt idx="5">
                  <c:v>-6.2668027348934308</c:v>
                </c:pt>
                <c:pt idx="6">
                  <c:v>-7.057495893831919</c:v>
                </c:pt>
                <c:pt idx="7">
                  <c:v>-7.7033348097384691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F47-4C63-8DF7-3A4E43329C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351311"/>
        <c:axId val="1"/>
      </c:scatterChart>
      <c:valAx>
        <c:axId val="1181351311"/>
        <c:scaling>
          <c:orientation val="minMax"/>
          <c:max val="100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/>
                    <a:ea typeface="ＭＳ Ｐゴシック"/>
                    <a:cs typeface="Arial"/>
                  </a:rPr>
                  <a:t> [K]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48663101604278075"/>
              <c:y val="0.88013842447776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"/>
        <c:crossesAt val="-7"/>
        <c:crossBetween val="midCat"/>
        <c:majorUnit val="100"/>
      </c:valAx>
      <c:valAx>
        <c:axId val="1"/>
        <c:scaling>
          <c:orientation val="minMax"/>
          <c:max val="5"/>
          <c:min val="-7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log </a:t>
                </a:r>
                <a:r>
                  <a:rPr lang="ja-JP" altLang="en-US" sz="1100" b="0" i="1" u="none" strike="noStrike" baseline="0">
                    <a:solidFill>
                      <a:srgbClr val="000000"/>
                    </a:solidFill>
                    <a:latin typeface="Arial"/>
                    <a:ea typeface="ＭＳ Ｐゴシック"/>
                    <a:cs typeface="Arial"/>
                  </a:rPr>
                  <a:t>K</a:t>
                </a:r>
                <a:endParaRPr lang="ja-JP" altLang="en-US" sz="1100" b="0" i="1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2.4064171122994651E-2"/>
              <c:y val="0.267124006759429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1181351311"/>
        <c:crosses val="autoZero"/>
        <c:crossBetween val="midCat"/>
        <c:majorUnit val="1"/>
        <c:minorUnit val="1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324339552664614"/>
          <c:y val="0.15065110662820039"/>
          <c:w val="0.7390119803453119"/>
          <c:h val="0.6494490358126721"/>
        </c:manualLayout>
      </c:layout>
      <c:scatterChart>
        <c:scatterStyle val="smoothMarker"/>
        <c:varyColors val="0"/>
        <c:ser>
          <c:idx val="0"/>
          <c:order val="0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メタノール合成反応平衡定数!$B$43:$H$43</c:f>
              <c:numCache>
                <c:formatCode>General</c:formatCode>
                <c:ptCount val="7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</c:numCache>
            </c:numRef>
          </c:xVal>
          <c:yVal>
            <c:numRef>
              <c:f>メタノール合成反応平衡定数!$B$42:$H$42</c:f>
              <c:numCache>
                <c:formatCode>General</c:formatCode>
                <c:ptCount val="7"/>
                <c:pt idx="0">
                  <c:v>0.99</c:v>
                </c:pt>
                <c:pt idx="1">
                  <c:v>0.97499999999999998</c:v>
                </c:pt>
                <c:pt idx="2">
                  <c:v>0.93</c:v>
                </c:pt>
                <c:pt idx="3">
                  <c:v>0.83499999999999996</c:v>
                </c:pt>
                <c:pt idx="4">
                  <c:v>0.65</c:v>
                </c:pt>
                <c:pt idx="5">
                  <c:v>0.375</c:v>
                </c:pt>
                <c:pt idx="6">
                  <c:v>0.14899999999999999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EFB-4CD2-A69D-D7130762A69B}"/>
            </c:ext>
          </c:extLst>
        </c:ser>
        <c:ser>
          <c:idx val="1"/>
          <c:order val="1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メタノール合成反応平衡定数!$B$43:$H$43</c:f>
              <c:numCache>
                <c:formatCode>General</c:formatCode>
                <c:ptCount val="7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</c:numCache>
            </c:numRef>
          </c:xVal>
          <c:yVal>
            <c:numRef>
              <c:f>メタノール合成反応平衡定数!$B$41:$H$41</c:f>
              <c:numCache>
                <c:formatCode>General</c:formatCode>
                <c:ptCount val="7"/>
                <c:pt idx="0">
                  <c:v>0.98</c:v>
                </c:pt>
                <c:pt idx="1">
                  <c:v>0.95899999999999996</c:v>
                </c:pt>
                <c:pt idx="2">
                  <c:v>0.88</c:v>
                </c:pt>
                <c:pt idx="3">
                  <c:v>0.72299999999999998</c:v>
                </c:pt>
                <c:pt idx="4">
                  <c:v>0.43</c:v>
                </c:pt>
                <c:pt idx="5">
                  <c:v>0.16</c:v>
                </c:pt>
                <c:pt idx="6">
                  <c:v>4.4999999999999998E-2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7EFB-4CD2-A69D-D7130762A69B}"/>
            </c:ext>
          </c:extLst>
        </c:ser>
        <c:ser>
          <c:idx val="2"/>
          <c:order val="2"/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メタノール合成反応平衡定数!$B$43:$H$43</c:f>
              <c:numCache>
                <c:formatCode>General</c:formatCode>
                <c:ptCount val="7"/>
                <c:pt idx="0">
                  <c:v>100</c:v>
                </c:pt>
                <c:pt idx="1">
                  <c:v>150</c:v>
                </c:pt>
                <c:pt idx="2">
                  <c:v>200</c:v>
                </c:pt>
                <c:pt idx="3">
                  <c:v>250</c:v>
                </c:pt>
                <c:pt idx="4">
                  <c:v>300</c:v>
                </c:pt>
                <c:pt idx="5">
                  <c:v>350</c:v>
                </c:pt>
                <c:pt idx="6">
                  <c:v>400</c:v>
                </c:pt>
              </c:numCache>
            </c:numRef>
          </c:xVal>
          <c:yVal>
            <c:numRef>
              <c:f>メタノール合成反応平衡定数!$B$40:$H$40</c:f>
              <c:numCache>
                <c:formatCode>General</c:formatCode>
                <c:ptCount val="7"/>
                <c:pt idx="0">
                  <c:v>0.94299999999999995</c:v>
                </c:pt>
                <c:pt idx="1">
                  <c:v>0.78800000000000003</c:v>
                </c:pt>
                <c:pt idx="2">
                  <c:v>0.40489999999999998</c:v>
                </c:pt>
                <c:pt idx="3">
                  <c:v>7.9600000000000004E-2</c:v>
                </c:pt>
                <c:pt idx="4">
                  <c:v>1.1955E-2</c:v>
                </c:pt>
                <c:pt idx="6">
                  <c:v>4.8899999999999996E-4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7EFB-4CD2-A69D-D7130762A69B}"/>
            </c:ext>
          </c:extLst>
        </c:ser>
        <c:ser>
          <c:idx val="3"/>
          <c:order val="3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メタノール合成反応平衡定数!$P$25:$P$33</c:f>
              <c:numCache>
                <c:formatCode>General</c:formatCode>
                <c:ptCount val="9"/>
                <c:pt idx="0">
                  <c:v>100</c:v>
                </c:pt>
                <c:pt idx="1">
                  <c:v>125</c:v>
                </c:pt>
                <c:pt idx="2">
                  <c:v>150</c:v>
                </c:pt>
                <c:pt idx="3">
                  <c:v>175</c:v>
                </c:pt>
                <c:pt idx="4">
                  <c:v>200</c:v>
                </c:pt>
                <c:pt idx="5">
                  <c:v>225</c:v>
                </c:pt>
                <c:pt idx="6">
                  <c:v>250</c:v>
                </c:pt>
                <c:pt idx="7">
                  <c:v>275</c:v>
                </c:pt>
                <c:pt idx="8">
                  <c:v>300</c:v>
                </c:pt>
              </c:numCache>
            </c:numRef>
          </c:xVal>
          <c:yVal>
            <c:numRef>
              <c:f>メタノール合成反応平衡定数!$Q$25:$Q$33</c:f>
              <c:numCache>
                <c:formatCode>General</c:formatCode>
                <c:ptCount val="9"/>
                <c:pt idx="0">
                  <c:v>0.94940853835799999</c:v>
                </c:pt>
                <c:pt idx="1">
                  <c:v>0.89537775554200005</c:v>
                </c:pt>
                <c:pt idx="2">
                  <c:v>0.79712658115500001</c:v>
                </c:pt>
                <c:pt idx="3">
                  <c:v>0.63286757843100006</c:v>
                </c:pt>
                <c:pt idx="4">
                  <c:v>0.408776735296</c:v>
                </c:pt>
                <c:pt idx="5">
                  <c:v>0.202038734975</c:v>
                </c:pt>
                <c:pt idx="6">
                  <c:v>8.2510717569299993E-2</c:v>
                </c:pt>
                <c:pt idx="7">
                  <c:v>3.2004003974299998E-2</c:v>
                </c:pt>
                <c:pt idx="8">
                  <c:v>1.27696148739E-2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7EFB-4CD2-A69D-D7130762A69B}"/>
            </c:ext>
          </c:extLst>
        </c:ser>
        <c:ser>
          <c:idx val="4"/>
          <c:order val="4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メタノール合成反応平衡定数!$P$28:$P$37</c:f>
              <c:numCache>
                <c:formatCode>General</c:formatCode>
                <c:ptCount val="10"/>
                <c:pt idx="0">
                  <c:v>175</c:v>
                </c:pt>
                <c:pt idx="1">
                  <c:v>200</c:v>
                </c:pt>
                <c:pt idx="2">
                  <c:v>225</c:v>
                </c:pt>
                <c:pt idx="3">
                  <c:v>250</c:v>
                </c:pt>
                <c:pt idx="4">
                  <c:v>275</c:v>
                </c:pt>
                <c:pt idx="5">
                  <c:v>300</c:v>
                </c:pt>
                <c:pt idx="6">
                  <c:v>325</c:v>
                </c:pt>
                <c:pt idx="7">
                  <c:v>350</c:v>
                </c:pt>
                <c:pt idx="8">
                  <c:v>375</c:v>
                </c:pt>
                <c:pt idx="9">
                  <c:v>400</c:v>
                </c:pt>
              </c:numCache>
            </c:numRef>
          </c:xVal>
          <c:yVal>
            <c:numRef>
              <c:f>メタノール合成反応平衡定数!$R$28:$R$37</c:f>
              <c:numCache>
                <c:formatCode>General</c:formatCode>
                <c:ptCount val="10"/>
                <c:pt idx="0">
                  <c:v>0.99769871103999996</c:v>
                </c:pt>
                <c:pt idx="1">
                  <c:v>0.99405030615800005</c:v>
                </c:pt>
                <c:pt idx="2">
                  <c:v>0.90910376453999997</c:v>
                </c:pt>
                <c:pt idx="3">
                  <c:v>0.80110750850500001</c:v>
                </c:pt>
                <c:pt idx="4">
                  <c:v>0.66096769633899999</c:v>
                </c:pt>
                <c:pt idx="5">
                  <c:v>0.49158871644000002</c:v>
                </c:pt>
                <c:pt idx="6">
                  <c:v>0.32212588886900001</c:v>
                </c:pt>
                <c:pt idx="7">
                  <c:v>0.189076128102</c:v>
                </c:pt>
                <c:pt idx="8">
                  <c:v>0.10336523922099999</c:v>
                </c:pt>
                <c:pt idx="9">
                  <c:v>5.5299938862100002E-2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EFB-4CD2-A69D-D7130762A69B}"/>
            </c:ext>
          </c:extLst>
        </c:ser>
        <c:ser>
          <c:idx val="5"/>
          <c:order val="5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メタノール合成反応平衡定数!$P$29:$P$37</c:f>
              <c:numCache>
                <c:formatCode>General</c:formatCode>
                <c:ptCount val="9"/>
                <c:pt idx="0">
                  <c:v>200</c:v>
                </c:pt>
                <c:pt idx="1">
                  <c:v>225</c:v>
                </c:pt>
                <c:pt idx="2">
                  <c:v>250</c:v>
                </c:pt>
                <c:pt idx="3">
                  <c:v>275</c:v>
                </c:pt>
                <c:pt idx="4">
                  <c:v>300</c:v>
                </c:pt>
                <c:pt idx="5">
                  <c:v>325</c:v>
                </c:pt>
                <c:pt idx="6">
                  <c:v>350</c:v>
                </c:pt>
                <c:pt idx="7">
                  <c:v>375</c:v>
                </c:pt>
                <c:pt idx="8">
                  <c:v>400</c:v>
                </c:pt>
              </c:numCache>
            </c:numRef>
          </c:xVal>
          <c:yVal>
            <c:numRef>
              <c:f>メタノール合成反応平衡定数!$S$29:$S$37</c:f>
              <c:numCache>
                <c:formatCode>General</c:formatCode>
                <c:ptCount val="9"/>
                <c:pt idx="0">
                  <c:v>0.99532901978400001</c:v>
                </c:pt>
                <c:pt idx="1">
                  <c:v>0.98894355830799996</c:v>
                </c:pt>
                <c:pt idx="2">
                  <c:v>0.97027543652399995</c:v>
                </c:pt>
                <c:pt idx="3">
                  <c:v>0.88870410945099998</c:v>
                </c:pt>
                <c:pt idx="4">
                  <c:v>0.76686615388599999</c:v>
                </c:pt>
                <c:pt idx="5">
                  <c:v>0.61919031470599994</c:v>
                </c:pt>
                <c:pt idx="6">
                  <c:v>0.45654598144800002</c:v>
                </c:pt>
                <c:pt idx="7">
                  <c:v>0.305307102256</c:v>
                </c:pt>
                <c:pt idx="8">
                  <c:v>0.18922022754199999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5-7EFB-4CD2-A69D-D7130762A6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7780223"/>
        <c:axId val="1"/>
      </c:scatterChart>
      <c:valAx>
        <c:axId val="1177780223"/>
        <c:scaling>
          <c:orientation val="minMax"/>
          <c:max val="400"/>
          <c:min val="1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mbria Math" panose="02040503050406030204" pitchFamily="18" charset="0"/>
                    <a:cs typeface="Arial" panose="020B0604020202020204" pitchFamily="34" charset="0"/>
                  </a:defRPr>
                </a:pP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mbria Math" panose="02040503050406030204" pitchFamily="18" charset="0"/>
                    <a:cs typeface="Arial" panose="020B0604020202020204" pitchFamily="34" charset="0"/>
                  </a:rPr>
                  <a:t>Temp. 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 [</a:t>
                </a:r>
                <a:r>
                  <a:rPr lang="en-US" altLang="ja-JP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Cambria Math" panose="02040503050406030204" pitchFamily="18" charset="0"/>
                    <a:cs typeface="Arial" panose="020B0604020202020204" pitchFamily="34" charset="0"/>
                  </a:rPr>
                  <a:t>°C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rPr>
                  <a:t> ]</a:t>
                </a:r>
              </a:p>
            </c:rich>
          </c:tx>
          <c:layout>
            <c:manualLayout>
              <c:xMode val="edge"/>
              <c:yMode val="edge"/>
              <c:x val="0.45238152923192293"/>
              <c:y val="0.887584993052339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"/>
        <c:crosses val="autoZero"/>
        <c:crossBetween val="midCat"/>
        <c:majorUnit val="100"/>
        <c:minorUnit val="50"/>
      </c:valAx>
      <c:valAx>
        <c:axId val="1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 panose="020B0604020202020204" pitchFamily="34" charset="0"/>
                    <a:ea typeface="ＭＳ Ｐゴシック"/>
                    <a:cs typeface="Arial" panose="020B0604020202020204" pitchFamily="34" charset="0"/>
                  </a:defRPr>
                </a:pPr>
                <a:r>
                  <a:rPr lang="en-US" altLang="ja-JP">
                    <a:latin typeface="Arial" panose="020B0604020202020204" pitchFamily="34" charset="0"/>
                    <a:cs typeface="Arial" panose="020B0604020202020204" pitchFamily="34" charset="0"/>
                  </a:rPr>
                  <a:t>CO conversion </a:t>
                </a:r>
              </a:p>
            </c:rich>
          </c:tx>
          <c:layout>
            <c:manualLayout>
              <c:xMode val="edge"/>
              <c:yMode val="edge"/>
              <c:x val="3.021978021978022E-2"/>
              <c:y val="0.2052295815964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177780223"/>
        <c:crosses val="autoZero"/>
        <c:crossBetween val="midCat"/>
        <c:majorUnit val="0.2"/>
        <c:minorUnit val="0.1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2911051212938005"/>
          <c:y val="6.4257280125502497E-2"/>
          <c:w val="0.70889487870619949"/>
          <c:h val="0.69076576134915191"/>
        </c:manualLayout>
      </c:layout>
      <c:scatterChart>
        <c:scatterStyle val="smoothMarker"/>
        <c:varyColors val="0"/>
        <c:ser>
          <c:idx val="2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平衡定数水分解!$C$38:$F$38</c:f>
              <c:numCache>
                <c:formatCode>General</c:formatCode>
                <c:ptCount val="4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</c:numCache>
            </c:numRef>
          </c:xVal>
          <c:yVal>
            <c:numRef>
              <c:f>平衡定数水分解!$C$36:$F$36</c:f>
              <c:numCache>
                <c:formatCode>General</c:formatCode>
                <c:ptCount val="4"/>
                <c:pt idx="0">
                  <c:v>1.1E-5</c:v>
                </c:pt>
                <c:pt idx="1">
                  <c:v>6.4000000000000005E-4</c:v>
                </c:pt>
                <c:pt idx="2">
                  <c:v>5.4999999999999997E-3</c:v>
                </c:pt>
                <c:pt idx="3">
                  <c:v>1.9599999999999999E-2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1D8-461B-83BC-FD439033BEAD}"/>
            </c:ext>
          </c:extLst>
        </c:ser>
        <c:ser>
          <c:idx val="3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平衡定数水分解!$C$38:$F$38</c:f>
              <c:numCache>
                <c:formatCode>General</c:formatCode>
                <c:ptCount val="4"/>
                <c:pt idx="0">
                  <c:v>1000</c:v>
                </c:pt>
                <c:pt idx="1">
                  <c:v>1500</c:v>
                </c:pt>
                <c:pt idx="2">
                  <c:v>2000</c:v>
                </c:pt>
                <c:pt idx="3">
                  <c:v>2500</c:v>
                </c:pt>
              </c:numCache>
            </c:numRef>
          </c:xVal>
          <c:yVal>
            <c:numRef>
              <c:f>平衡定数水分解!$C$37:$F$37</c:f>
              <c:numCache>
                <c:formatCode>General</c:formatCode>
                <c:ptCount val="4"/>
                <c:pt idx="0">
                  <c:v>2.3E-5</c:v>
                </c:pt>
                <c:pt idx="1">
                  <c:v>1.3799999999999999E-3</c:v>
                </c:pt>
                <c:pt idx="2">
                  <c:v>1.191E-2</c:v>
                </c:pt>
                <c:pt idx="3">
                  <c:v>4.1700000000000001E-2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D1D8-461B-83BC-FD439033BE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738024"/>
        <c:axId val="279737632"/>
      </c:scatterChart>
      <c:valAx>
        <c:axId val="279738024"/>
        <c:scaling>
          <c:orientation val="minMax"/>
          <c:max val="25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</a:t>
                </a: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Arial"/>
                    <a:ea typeface="ＭＳ Ｐゴシック"/>
                    <a:cs typeface="Arial"/>
                  </a:rPr>
                  <a:t>[ ℃]</a:t>
                </a:r>
                <a:endParaRPr lang="ja-JP" altLang="en-US" sz="1100" b="0" i="0" u="none" strike="noStrike" baseline="0">
                  <a:solidFill>
                    <a:srgbClr val="000000"/>
                  </a:solidFill>
                  <a:latin typeface="Arial"/>
                  <a:cs typeface="Arial"/>
                </a:endParaRPr>
              </a:p>
            </c:rich>
          </c:tx>
          <c:layout>
            <c:manualLayout>
              <c:xMode val="edge"/>
              <c:yMode val="edge"/>
              <c:x val="0.50134774255352177"/>
              <c:y val="0.879521624590741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279737632"/>
        <c:crosses val="autoZero"/>
        <c:crossBetween val="midCat"/>
        <c:majorUnit val="500"/>
        <c:minorUnit val="100"/>
      </c:valAx>
      <c:valAx>
        <c:axId val="279737632"/>
        <c:scaling>
          <c:orientation val="minMax"/>
          <c:max val="0.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ja-JP" altLang="en-US"/>
                  <a:t>平衡転化率</a:t>
                </a:r>
              </a:p>
            </c:rich>
          </c:tx>
          <c:layout>
            <c:manualLayout>
              <c:xMode val="edge"/>
              <c:yMode val="edge"/>
              <c:x val="6.4690155978976052E-2"/>
              <c:y val="0.253012750625287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ja-JP"/>
          </a:p>
        </c:txPr>
        <c:crossAx val="279738024"/>
        <c:crossesAt val="500"/>
        <c:crossBetween val="midCat"/>
        <c:majorUnit val="0.02"/>
        <c:minorUnit val="0.01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ja-JP"/>
              <a:t>プロパン分解反応熱の</a:t>
            </a:r>
            <a:r>
              <a:rPr lang="ja-JP" altLang="en-US"/>
              <a:t>平衡定数 </a:t>
            </a:r>
            <a:r>
              <a:rPr lang="en-US" altLang="ja-JP"/>
              <a:t>K</a:t>
            </a:r>
            <a:endParaRPr lang="ja-JP"/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97914208651655"/>
          <c:y val="0.2124542124542125"/>
          <c:w val="0.74932653875226274"/>
          <c:h val="0.67163207163207161"/>
        </c:manualLayout>
      </c:layout>
      <c:scatterChart>
        <c:scatterStyle val="smoothMarker"/>
        <c:varyColors val="0"/>
        <c:ser>
          <c:idx val="1"/>
          <c:order val="0"/>
          <c:spPr>
            <a:ln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'平衡定数プロパン分解 '!$N$4:$N$9</c:f>
              <c:numCache>
                <c:formatCode>General</c:formatCode>
                <c:ptCount val="6"/>
                <c:pt idx="0">
                  <c:v>400</c:v>
                </c:pt>
                <c:pt idx="1">
                  <c:v>600</c:v>
                </c:pt>
                <c:pt idx="2">
                  <c:v>800</c:v>
                </c:pt>
                <c:pt idx="3">
                  <c:v>1000</c:v>
                </c:pt>
                <c:pt idx="4">
                  <c:v>1200</c:v>
                </c:pt>
                <c:pt idx="5">
                  <c:v>1300</c:v>
                </c:pt>
              </c:numCache>
            </c:numRef>
          </c:xVal>
          <c:yVal>
            <c:numRef>
              <c:f>'平衡定数プロパン分解 '!$P$4:$P$9</c:f>
              <c:numCache>
                <c:formatCode>General</c:formatCode>
                <c:ptCount val="6"/>
                <c:pt idx="0">
                  <c:v>-21.996231512759298</c:v>
                </c:pt>
                <c:pt idx="1">
                  <c:v>-9.2511623664964375</c:v>
                </c:pt>
                <c:pt idx="2">
                  <c:v>-2.8051119139453413</c:v>
                </c:pt>
                <c:pt idx="3">
                  <c:v>1.0818051703517284</c:v>
                </c:pt>
                <c:pt idx="4">
                  <c:v>3.6696966346971625</c:v>
                </c:pt>
                <c:pt idx="5">
                  <c:v>4.6577626361072619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720-40E3-8F0B-0BAEBFCF8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3394248"/>
        <c:axId val="383394640"/>
      </c:scatterChart>
      <c:valAx>
        <c:axId val="383394248"/>
        <c:scaling>
          <c:orientation val="minMax"/>
          <c:max val="1400"/>
          <c:min val="4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/>
                  <a:t>T [K]</a:t>
                </a:r>
                <a:endParaRPr lang="ja-JP" altLang="en-US" sz="1200"/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3394640"/>
        <c:crosses val="autoZero"/>
        <c:crossBetween val="midCat"/>
        <c:majorUnit val="200"/>
      </c:valAx>
      <c:valAx>
        <c:axId val="383394640"/>
        <c:scaling>
          <c:orientation val="minMax"/>
          <c:max val="10"/>
          <c:min val="-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altLang="ja-JP" sz="1200"/>
                  <a:t>ln K</a:t>
                </a:r>
                <a:endParaRPr lang="ja-JP" altLang="en-US" sz="1200"/>
              </a:p>
            </c:rich>
          </c:tx>
          <c:layout>
            <c:manualLayout>
              <c:xMode val="edge"/>
              <c:yMode val="edge"/>
              <c:x val="2.821295475946272E-2"/>
              <c:y val="0.4357398012289354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ja-JP"/>
          </a:p>
        </c:txPr>
        <c:crossAx val="383394248"/>
        <c:crosses val="autoZero"/>
        <c:crossBetween val="midCat"/>
        <c:majorUnit val="10"/>
        <c:minorUnit val="5"/>
      </c:valAx>
      <c:spPr>
        <a:noFill/>
        <a:ln w="19050">
          <a:solidFill>
            <a:schemeClr val="tx1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991720544842944"/>
          <c:y val="5.8823754686560537E-2"/>
          <c:w val="0.80162249922674422"/>
          <c:h val="0.7309336499825239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例題6平衡定数アンモニア!$B$38</c:f>
              <c:strCache>
                <c:ptCount val="1"/>
                <c:pt idx="0">
                  <c:v>200℃</c:v>
                </c:pt>
              </c:strCache>
            </c:strRef>
          </c:tx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例題6平衡定数アンモニア!$A$39:$A$43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numCache>
            </c:numRef>
          </c:xVal>
          <c:yVal>
            <c:numRef>
              <c:f>例題6平衡定数アンモニア!$B$39:$B$43</c:f>
              <c:numCache>
                <c:formatCode>General</c:formatCode>
                <c:ptCount val="5"/>
                <c:pt idx="0">
                  <c:v>0.84599999999999997</c:v>
                </c:pt>
                <c:pt idx="1">
                  <c:v>0.89</c:v>
                </c:pt>
                <c:pt idx="2">
                  <c:v>0.91</c:v>
                </c:pt>
                <c:pt idx="3">
                  <c:v>0.92200000000000004</c:v>
                </c:pt>
                <c:pt idx="4">
                  <c:v>0.93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10F-4859-89B2-35270FBAD577}"/>
            </c:ext>
          </c:extLst>
        </c:ser>
        <c:ser>
          <c:idx val="1"/>
          <c:order val="1"/>
          <c:tx>
            <c:strRef>
              <c:f>例題6平衡定数アンモニア!$C$38</c:f>
              <c:strCache>
                <c:ptCount val="1"/>
                <c:pt idx="0">
                  <c:v>400℃</c:v>
                </c:pt>
              </c:strCache>
            </c:strRef>
          </c:tx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例題6平衡定数アンモニア!$A$39:$A$43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numCache>
            </c:numRef>
          </c:xVal>
          <c:yVal>
            <c:numRef>
              <c:f>例題6平衡定数アンモニア!$C$39:$C$43</c:f>
              <c:numCache>
                <c:formatCode>General</c:formatCode>
                <c:ptCount val="5"/>
                <c:pt idx="0">
                  <c:v>0.27100000000000002</c:v>
                </c:pt>
                <c:pt idx="1">
                  <c:v>0.39800000000000002</c:v>
                </c:pt>
                <c:pt idx="2">
                  <c:v>0.47599999999999998</c:v>
                </c:pt>
                <c:pt idx="3">
                  <c:v>0.53</c:v>
                </c:pt>
                <c:pt idx="4">
                  <c:v>0.56999999999999995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10F-4859-89B2-35270FBAD577}"/>
            </c:ext>
          </c:extLst>
        </c:ser>
        <c:ser>
          <c:idx val="2"/>
          <c:order val="2"/>
          <c:tx>
            <c:strRef>
              <c:f>例題6平衡定数アンモニア!$D$38</c:f>
              <c:strCache>
                <c:ptCount val="1"/>
                <c:pt idx="0">
                  <c:v>500℃</c:v>
                </c:pt>
              </c:strCache>
            </c:strRef>
          </c:tx>
          <c:spPr>
            <a:ln w="63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例題6平衡定数アンモニア!$A$39:$A$43</c:f>
              <c:numCache>
                <c:formatCode>General</c:formatCod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</c:numCache>
            </c:numRef>
          </c:xVal>
          <c:yVal>
            <c:numRef>
              <c:f>例題6平衡定数アンモニア!$D$39:$D$43</c:f>
              <c:numCache>
                <c:formatCode>General</c:formatCode>
                <c:ptCount val="5"/>
                <c:pt idx="0">
                  <c:v>0.109</c:v>
                </c:pt>
                <c:pt idx="1">
                  <c:v>0.188</c:v>
                </c:pt>
                <c:pt idx="2">
                  <c:v>0.249</c:v>
                </c:pt>
                <c:pt idx="3">
                  <c:v>0.29899999999999999</c:v>
                </c:pt>
                <c:pt idx="4">
                  <c:v>0.33900000000000002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410F-4859-89B2-35270FBAD577}"/>
            </c:ext>
          </c:extLst>
        </c:ser>
        <c:ser>
          <c:idx val="3"/>
          <c:order val="3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例題6平衡定数アンモニア!$V$40:$V$48</c:f>
              <c:numCache>
                <c:formatCode>General</c:formatCode>
                <c:ptCount val="9"/>
                <c:pt idx="0">
                  <c:v>5</c:v>
                </c:pt>
                <c:pt idx="1">
                  <c:v>7.5</c:v>
                </c:pt>
                <c:pt idx="2">
                  <c:v>10</c:v>
                </c:pt>
                <c:pt idx="3">
                  <c:v>12.5</c:v>
                </c:pt>
                <c:pt idx="4">
                  <c:v>15</c:v>
                </c:pt>
                <c:pt idx="5">
                  <c:v>17.5</c:v>
                </c:pt>
                <c:pt idx="6">
                  <c:v>20</c:v>
                </c:pt>
                <c:pt idx="7">
                  <c:v>22.5</c:v>
                </c:pt>
                <c:pt idx="8">
                  <c:v>25</c:v>
                </c:pt>
              </c:numCache>
            </c:numRef>
          </c:xVal>
          <c:yVal>
            <c:numRef>
              <c:f>例題6平衡定数アンモニア!$W$40:$W$48</c:f>
              <c:numCache>
                <c:formatCode>General</c:formatCode>
                <c:ptCount val="9"/>
                <c:pt idx="0">
                  <c:v>0.10944766356799999</c:v>
                </c:pt>
                <c:pt idx="1">
                  <c:v>0.15354733328100001</c:v>
                </c:pt>
                <c:pt idx="2">
                  <c:v>0.19247692525099999</c:v>
                </c:pt>
                <c:pt idx="3">
                  <c:v>0.22720940237100001</c:v>
                </c:pt>
                <c:pt idx="4">
                  <c:v>0.25847914042499998</c:v>
                </c:pt>
                <c:pt idx="5">
                  <c:v>0.28730760301000002</c:v>
                </c:pt>
                <c:pt idx="6">
                  <c:v>0.31327555300999999</c:v>
                </c:pt>
                <c:pt idx="7">
                  <c:v>0.33753840118900003</c:v>
                </c:pt>
                <c:pt idx="8">
                  <c:v>0.359761842246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2C75-4AE1-B3FA-1030A9279CE2}"/>
            </c:ext>
          </c:extLst>
        </c:ser>
        <c:ser>
          <c:idx val="4"/>
          <c:order val="4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例題6平衡定数アンモニア!$V$40:$V$48</c:f>
              <c:numCache>
                <c:formatCode>General</c:formatCode>
                <c:ptCount val="9"/>
                <c:pt idx="0">
                  <c:v>5</c:v>
                </c:pt>
                <c:pt idx="1">
                  <c:v>7.5</c:v>
                </c:pt>
                <c:pt idx="2">
                  <c:v>10</c:v>
                </c:pt>
                <c:pt idx="3">
                  <c:v>12.5</c:v>
                </c:pt>
                <c:pt idx="4">
                  <c:v>15</c:v>
                </c:pt>
                <c:pt idx="5">
                  <c:v>17.5</c:v>
                </c:pt>
                <c:pt idx="6">
                  <c:v>20</c:v>
                </c:pt>
                <c:pt idx="7">
                  <c:v>22.5</c:v>
                </c:pt>
                <c:pt idx="8">
                  <c:v>25</c:v>
                </c:pt>
              </c:numCache>
            </c:numRef>
          </c:xVal>
          <c:yVal>
            <c:numRef>
              <c:f>例題6平衡定数アンモニア!$X$40:$X$48</c:f>
              <c:numCache>
                <c:formatCode>General</c:formatCode>
                <c:ptCount val="9"/>
                <c:pt idx="0">
                  <c:v>0.27457706254699998</c:v>
                </c:pt>
                <c:pt idx="1">
                  <c:v>0.35068302866000001</c:v>
                </c:pt>
                <c:pt idx="2">
                  <c:v>0.41030886873099998</c:v>
                </c:pt>
                <c:pt idx="3">
                  <c:v>0.45779896212600002</c:v>
                </c:pt>
                <c:pt idx="4">
                  <c:v>0.49758544754099998</c:v>
                </c:pt>
                <c:pt idx="5">
                  <c:v>0.53053701823699995</c:v>
                </c:pt>
                <c:pt idx="6">
                  <c:v>0.55994414869800002</c:v>
                </c:pt>
                <c:pt idx="7">
                  <c:v>0.58476734393499996</c:v>
                </c:pt>
                <c:pt idx="8">
                  <c:v>0.60740509468699999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923-40F3-B89F-5C4427D3E289}"/>
            </c:ext>
          </c:extLst>
        </c:ser>
        <c:ser>
          <c:idx val="5"/>
          <c:order val="5"/>
          <c:spPr>
            <a:ln w="25400" cap="sq">
              <a:solidFill>
                <a:schemeClr val="tx1"/>
              </a:solidFill>
              <a:prstDash val="sysDot"/>
            </a:ln>
          </c:spPr>
          <c:marker>
            <c:symbol val="none"/>
          </c:marker>
          <c:xVal>
            <c:numRef>
              <c:f>例題6平衡定数アンモニア!$V$40:$V$48</c:f>
              <c:numCache>
                <c:formatCode>General</c:formatCode>
                <c:ptCount val="9"/>
                <c:pt idx="0">
                  <c:v>5</c:v>
                </c:pt>
                <c:pt idx="1">
                  <c:v>7.5</c:v>
                </c:pt>
                <c:pt idx="2">
                  <c:v>10</c:v>
                </c:pt>
                <c:pt idx="3">
                  <c:v>12.5</c:v>
                </c:pt>
                <c:pt idx="4">
                  <c:v>15</c:v>
                </c:pt>
                <c:pt idx="5">
                  <c:v>17.5</c:v>
                </c:pt>
                <c:pt idx="6">
                  <c:v>20</c:v>
                </c:pt>
                <c:pt idx="7">
                  <c:v>22.5</c:v>
                </c:pt>
                <c:pt idx="8">
                  <c:v>25</c:v>
                </c:pt>
              </c:numCache>
            </c:numRef>
          </c:xVal>
          <c:yVal>
            <c:numRef>
              <c:f>例題6平衡定数アンモニア!$Y$40:$Y$48</c:f>
              <c:numCache>
                <c:formatCode>General</c:formatCode>
                <c:ptCount val="9"/>
                <c:pt idx="0">
                  <c:v>0.86042718472900004</c:v>
                </c:pt>
                <c:pt idx="1">
                  <c:v>0.89343824953700002</c:v>
                </c:pt>
                <c:pt idx="2">
                  <c:v>0.914598745454</c:v>
                </c:pt>
                <c:pt idx="3">
                  <c:v>0.93003148520199996</c:v>
                </c:pt>
                <c:pt idx="4">
                  <c:v>0.94210077681600002</c:v>
                </c:pt>
                <c:pt idx="5">
                  <c:v>0.95192309398499997</c:v>
                </c:pt>
                <c:pt idx="6">
                  <c:v>0.96003486578099995</c:v>
                </c:pt>
                <c:pt idx="7">
                  <c:v>0.96672980493399996</c:v>
                </c:pt>
                <c:pt idx="8">
                  <c:v>0.97198073045800004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A923-40F3-B89F-5C4427D3E2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949008"/>
        <c:axId val="279936840"/>
      </c:scatterChart>
      <c:valAx>
        <c:axId val="279949008"/>
        <c:scaling>
          <c:orientation val="minMax"/>
          <c:max val="25"/>
        </c:scaling>
        <c:delete val="0"/>
        <c:axPos val="b"/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圧力 [MPa]</a:t>
                </a:r>
              </a:p>
            </c:rich>
          </c:tx>
          <c:layout>
            <c:manualLayout>
              <c:xMode val="edge"/>
              <c:yMode val="edge"/>
              <c:x val="0.42524936445574302"/>
              <c:y val="0.8800380198416047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279936840"/>
        <c:crosses val="autoZero"/>
        <c:crossBetween val="midCat"/>
        <c:majorUnit val="5"/>
      </c:valAx>
      <c:valAx>
        <c:axId val="2799368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 sz="1400"/>
                  <a:t>H</a:t>
                </a:r>
                <a:r>
                  <a:rPr lang="en-US" altLang="ja-JP" sz="1400" baseline="-25000"/>
                  <a:t>2</a:t>
                </a:r>
                <a:r>
                  <a:rPr lang="ja-JP" altLang="en-US" sz="1400"/>
                  <a:t>平衡反応率 </a:t>
                </a:r>
                <a:r>
                  <a:rPr lang="en-US" altLang="ja-JP" sz="1400"/>
                  <a:t>x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7.7785780870562923E-4"/>
              <c:y val="0.231242193278836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279949008"/>
        <c:crosses val="autoZero"/>
        <c:crossBetween val="midCat"/>
        <c:majorUnit val="0.2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アンモニア生成反応平衡定数</a:t>
            </a:r>
          </a:p>
        </c:rich>
      </c:tx>
      <c:layout>
        <c:manualLayout>
          <c:xMode val="edge"/>
          <c:yMode val="edge"/>
          <c:x val="0.29411762997343821"/>
          <c:y val="8.904129914394642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379679144385027"/>
          <c:y val="4.7945285653369897E-2"/>
          <c:w val="0.76470588235294112"/>
          <c:h val="0.7260286113224584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0"/>
          </c:trendline>
          <c:trendline>
            <c:spPr>
              <a:ln w="25400">
                <a:solidFill>
                  <a:srgbClr val="000000"/>
                </a:solidFill>
                <a:prstDash val="solid"/>
              </a:ln>
            </c:spPr>
            <c:trendlineType val="linear"/>
            <c:dispRSqr val="0"/>
            <c:dispEq val="1"/>
            <c:trendlineLbl>
              <c:layout/>
              <c:numFmt formatCode="General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</c:trendlineLbl>
          </c:trendline>
          <c:xVal>
            <c:numRef>
              <c:f>例題6平衡定数アンモニア!$L$2:$L$9</c:f>
              <c:numCache>
                <c:formatCode>General</c:formatCode>
                <c:ptCount val="8"/>
                <c:pt idx="0">
                  <c:v>3.3333333333333335E-3</c:v>
                </c:pt>
                <c:pt idx="1">
                  <c:v>2.5000000000000001E-3</c:v>
                </c:pt>
                <c:pt idx="2">
                  <c:v>2E-3</c:v>
                </c:pt>
                <c:pt idx="3">
                  <c:v>1.6666666666666668E-3</c:v>
                </c:pt>
                <c:pt idx="4">
                  <c:v>1.4285714285714286E-3</c:v>
                </c:pt>
                <c:pt idx="5">
                  <c:v>1.25E-3</c:v>
                </c:pt>
                <c:pt idx="6">
                  <c:v>1.1111111111111111E-3</c:v>
                </c:pt>
                <c:pt idx="7">
                  <c:v>1E-3</c:v>
                </c:pt>
              </c:numCache>
            </c:numRef>
          </c:xVal>
          <c:yVal>
            <c:numRef>
              <c:f>例題6平衡定数アンモニア!$M$2:$M$9</c:f>
              <c:numCache>
                <c:formatCode>General</c:formatCode>
                <c:ptCount val="8"/>
                <c:pt idx="0">
                  <c:v>13.065970787893116</c:v>
                </c:pt>
                <c:pt idx="1">
                  <c:v>3.6240742307478206</c:v>
                </c:pt>
                <c:pt idx="2">
                  <c:v>-2.2759431620476245</c:v>
                </c:pt>
                <c:pt idx="3">
                  <c:v>-6.3771270279199666</c:v>
                </c:pt>
                <c:pt idx="4">
                  <c:v>-9.326874188232134</c:v>
                </c:pt>
                <c:pt idx="5">
                  <c:v>-11.614404633920083</c:v>
                </c:pt>
                <c:pt idx="6">
                  <c:v>-13.425497554415031</c:v>
                </c:pt>
                <c:pt idx="7">
                  <c:v>-14.894320219336205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C65-47B6-A44B-F358F031C4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768080"/>
        <c:axId val="279916840"/>
      </c:scatterChart>
      <c:valAx>
        <c:axId val="382768080"/>
        <c:scaling>
          <c:orientation val="minMax"/>
          <c:max val="3.5000000000000001E-3"/>
          <c:min val="1E-3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1/T [1/K]</a:t>
                </a:r>
              </a:p>
            </c:rich>
          </c:tx>
          <c:layout>
            <c:manualLayout>
              <c:xMode val="edge"/>
              <c:yMode val="edge"/>
              <c:x val="0.43315533494146674"/>
              <c:y val="0.876713732184392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916840"/>
        <c:crossesAt val="-20"/>
        <c:crossBetween val="midCat"/>
        <c:majorUnit val="5.0000000000000001E-4"/>
        <c:minorUnit val="1E-4"/>
      </c:valAx>
      <c:valAx>
        <c:axId val="279916840"/>
        <c:scaling>
          <c:orientation val="minMax"/>
          <c:max val="20"/>
          <c:min val="-20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ln K</a:t>
                </a:r>
              </a:p>
            </c:rich>
          </c:tx>
          <c:layout>
            <c:manualLayout>
              <c:xMode val="edge"/>
              <c:yMode val="edge"/>
              <c:x val="2.4064201410723182E-2"/>
              <c:y val="0.36301411965531766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82768080"/>
        <c:crosses val="autoZero"/>
        <c:crossBetween val="midCat"/>
        <c:majorUnit val="5"/>
        <c:minorUnit val="1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3" verticalDpi="0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22994652406418"/>
          <c:y val="4.7945285653369897E-2"/>
          <c:w val="0.73796791443850263"/>
          <c:h val="0.7260286113224584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例題6平衡定数アンモニア!$K$2:$K$9</c:f>
              <c:numCache>
                <c:formatCode>General</c:formatCode>
                <c:ptCount val="8"/>
                <c:pt idx="0">
                  <c:v>472584</c:v>
                </c:pt>
                <c:pt idx="1">
                  <c:v>37.49</c:v>
                </c:pt>
                <c:pt idx="2">
                  <c:v>0.1027</c:v>
                </c:pt>
                <c:pt idx="3">
                  <c:v>1.6999999999999999E-3</c:v>
                </c:pt>
                <c:pt idx="4" formatCode="0.00E+00">
                  <c:v>8.8999999999999995E-5</c:v>
                </c:pt>
                <c:pt idx="5" formatCode="0.00E+00">
                  <c:v>9.0350000000000007E-6</c:v>
                </c:pt>
                <c:pt idx="6" formatCode="0.00E+00">
                  <c:v>1.477E-6</c:v>
                </c:pt>
                <c:pt idx="7" formatCode="0.00E+00">
                  <c:v>3.3999999999999997E-7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94F-45CA-96A0-69DC2A3FFF3C}"/>
            </c:ext>
          </c:extLst>
        </c:ser>
        <c:ser>
          <c:idx val="1"/>
          <c:order val="1"/>
          <c:spPr>
            <a:ln w="19050"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例題6平衡定数アンモニア!$A$47:$A$53</c:f>
              <c:numCache>
                <c:formatCode>General</c:formatCode>
                <c:ptCount val="7"/>
                <c:pt idx="0">
                  <c:v>298</c:v>
                </c:pt>
                <c:pt idx="1">
                  <c:v>398</c:v>
                </c:pt>
                <c:pt idx="2">
                  <c:v>500</c:v>
                </c:pt>
                <c:pt idx="3">
                  <c:v>598</c:v>
                </c:pt>
                <c:pt idx="4">
                  <c:v>698</c:v>
                </c:pt>
                <c:pt idx="5">
                  <c:v>850</c:v>
                </c:pt>
                <c:pt idx="6">
                  <c:v>1000</c:v>
                </c:pt>
              </c:numCache>
            </c:numRef>
          </c:xVal>
          <c:yVal>
            <c:numRef>
              <c:f>例題6平衡定数アンモニア!$B$47:$B$53</c:f>
              <c:numCache>
                <c:formatCode>General</c:formatCode>
                <c:ptCount val="7"/>
                <c:pt idx="0" formatCode="0.00E+00">
                  <c:v>610000</c:v>
                </c:pt>
                <c:pt idx="1">
                  <c:v>53.067368966157467</c:v>
                </c:pt>
                <c:pt idx="2">
                  <c:v>0.1804542067957477</c:v>
                </c:pt>
                <c:pt idx="3">
                  <c:v>4.7632738712517367E-3</c:v>
                </c:pt>
                <c:pt idx="4">
                  <c:v>3.3429272837632733E-4</c:v>
                </c:pt>
                <c:pt idx="5">
                  <c:v>1.9512674151127048E-5</c:v>
                </c:pt>
                <c:pt idx="6">
                  <c:v>2.7570769546609579E-6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94F-45CA-96A0-69DC2A3FFF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736456"/>
        <c:axId val="279736848"/>
      </c:scatterChart>
      <c:valAx>
        <c:axId val="279736456"/>
        <c:scaling>
          <c:orientation val="minMax"/>
          <c:max val="100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47860942731476674"/>
              <c:y val="0.8801383633405166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736848"/>
        <c:crossesAt val="1E-8"/>
        <c:crossBetween val="midCat"/>
        <c:majorUnit val="100"/>
      </c:valAx>
      <c:valAx>
        <c:axId val="279736848"/>
        <c:scaling>
          <c:logBase val="10"/>
          <c:orientation val="minMax"/>
          <c:max val="1000000"/>
          <c:min val="9.9999999999999995E-8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K</a:t>
                </a:r>
              </a:p>
            </c:rich>
          </c:tx>
          <c:layout>
            <c:manualLayout>
              <c:xMode val="edge"/>
              <c:yMode val="edge"/>
              <c:x val="0"/>
              <c:y val="0.26141587897884055"/>
            </c:manualLayout>
          </c:layout>
          <c:overlay val="0"/>
          <c:spPr>
            <a:noFill/>
            <a:ln w="25400">
              <a:noFill/>
            </a:ln>
          </c:spPr>
        </c:title>
        <c:numFmt formatCode="0.E+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279736456"/>
        <c:crosses val="autoZero"/>
        <c:crossBetween val="midCat"/>
        <c:majorUnit val="10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122994652406418"/>
          <c:y val="4.7945285653369897E-2"/>
          <c:w val="0.73796791443850263"/>
          <c:h val="0.7260286113224584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例題6平衡定数アンモニア!$J$2:$J$9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例題6平衡定数アンモニア!$N$2:$N$9</c:f>
              <c:numCache>
                <c:formatCode>0.00_ </c:formatCode>
                <c:ptCount val="8"/>
                <c:pt idx="0">
                  <c:v>5.6744790138910641</c:v>
                </c:pt>
                <c:pt idx="1">
                  <c:v>1.5739154404215507</c:v>
                </c:pt>
                <c:pt idx="2">
                  <c:v>-0.98842955640272179</c:v>
                </c:pt>
                <c:pt idx="3">
                  <c:v>-2.7695510786217259</c:v>
                </c:pt>
                <c:pt idx="4">
                  <c:v>-4.0506099933550876</c:v>
                </c:pt>
                <c:pt idx="5">
                  <c:v>-5.0440718431030493</c:v>
                </c:pt>
                <c:pt idx="6">
                  <c:v>-5.8306195046880509</c:v>
                </c:pt>
                <c:pt idx="7">
                  <c:v>-6.4685210829577446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FC5-40A4-87F2-CC670E96B8A2}"/>
            </c:ext>
          </c:extLst>
        </c:ser>
        <c:ser>
          <c:idx val="1"/>
          <c:order val="1"/>
          <c:spPr>
            <a:ln w="19050">
              <a:solidFill>
                <a:srgbClr val="000000"/>
              </a:solidFill>
              <a:prstDash val="dash"/>
            </a:ln>
          </c:spPr>
          <c:marker>
            <c:symbol val="none"/>
          </c:marker>
          <c:xVal>
            <c:numRef>
              <c:f>例題6平衡定数アンモニア!$A$47:$A$53</c:f>
              <c:numCache>
                <c:formatCode>General</c:formatCode>
                <c:ptCount val="7"/>
                <c:pt idx="0">
                  <c:v>298</c:v>
                </c:pt>
                <c:pt idx="1">
                  <c:v>398</c:v>
                </c:pt>
                <c:pt idx="2">
                  <c:v>500</c:v>
                </c:pt>
                <c:pt idx="3">
                  <c:v>598</c:v>
                </c:pt>
                <c:pt idx="4">
                  <c:v>698</c:v>
                </c:pt>
                <c:pt idx="5">
                  <c:v>850</c:v>
                </c:pt>
                <c:pt idx="6">
                  <c:v>1000</c:v>
                </c:pt>
              </c:numCache>
            </c:numRef>
          </c:xVal>
          <c:yVal>
            <c:numRef>
              <c:f>例題6平衡定数アンモニア!$D$47:$D$53</c:f>
              <c:numCache>
                <c:formatCode>General</c:formatCode>
                <c:ptCount val="7"/>
                <c:pt idx="0">
                  <c:v>5.7853298350107671</c:v>
                </c:pt>
                <c:pt idx="1">
                  <c:v>1.7248275562217226</c:v>
                </c:pt>
                <c:pt idx="2">
                  <c:v>-0.74363298909971398</c:v>
                </c:pt>
                <c:pt idx="3">
                  <c:v>-2.322094447387427</c:v>
                </c:pt>
                <c:pt idx="4">
                  <c:v>-3.4758730701929008</c:v>
                </c:pt>
                <c:pt idx="5">
                  <c:v>-4.7096832078226214</c:v>
                </c:pt>
                <c:pt idx="6">
                  <c:v>-5.559551111834673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FC5-40A4-87F2-CC670E96B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739200"/>
        <c:axId val="279739592"/>
      </c:scatterChart>
      <c:valAx>
        <c:axId val="279739200"/>
        <c:scaling>
          <c:orientation val="minMax"/>
          <c:max val="100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47860949947046094"/>
              <c:y val="0.88013841956784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739592"/>
        <c:crossesAt val="-7"/>
        <c:crossBetween val="midCat"/>
        <c:majorUnit val="100"/>
      </c:valAx>
      <c:valAx>
        <c:axId val="279739592"/>
        <c:scaling>
          <c:orientation val="minMax"/>
          <c:max val="6"/>
          <c:min val="-7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log </a:t>
                </a:r>
                <a:r>
                  <a:rPr lang="ja-JP" altLang="en-US" sz="1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K</a:t>
                </a:r>
              </a:p>
            </c:rich>
          </c:tx>
          <c:layout>
            <c:manualLayout>
              <c:xMode val="edge"/>
              <c:yMode val="edge"/>
              <c:x val="3.2085463001335357E-2"/>
              <c:y val="0.275114351500872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279739200"/>
        <c:crosses val="autoZero"/>
        <c:crossBetween val="midCat"/>
        <c:majorUnit val="1"/>
        <c:minorUnit val="1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057977954651219"/>
          <c:y val="3.8680695324599342E-2"/>
          <c:w val="0.73796791443850263"/>
          <c:h val="0.72602861132245844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trendline>
            <c:spPr>
              <a:ln>
                <a:solidFill>
                  <a:srgbClr val="FF0000"/>
                </a:solidFill>
                <a:prstDash val="dash"/>
              </a:ln>
            </c:spPr>
            <c:trendlineType val="poly"/>
            <c:order val="3"/>
            <c:dispRSqr val="0"/>
            <c:dispEq val="1"/>
            <c:trendlineLbl>
              <c:layout>
                <c:manualLayout>
                  <c:x val="4.2047095144222807E-2"/>
                  <c:y val="-0.53011838627755381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altLang="ja-JP" baseline="0"/>
                      <a:t>y = -3.976E-08x3 + 1.028E-04x2 - 9.564E-02x + 2.611E+01
</a:t>
                    </a:r>
                    <a:endParaRPr lang="en-US" altLang="ja-JP"/>
                  </a:p>
                </c:rich>
              </c:tx>
              <c:numFmt formatCode="0.000E+00" sourceLinked="0"/>
            </c:trendlineLbl>
          </c:trendline>
          <c:xVal>
            <c:numRef>
              <c:f>例題6平衡定数アンモニア!$J$2:$J$9</c:f>
              <c:numCache>
                <c:formatCode>General</c:formatCode>
                <c:ptCount val="8"/>
                <c:pt idx="0">
                  <c:v>300</c:v>
                </c:pt>
                <c:pt idx="1">
                  <c:v>400</c:v>
                </c:pt>
                <c:pt idx="2">
                  <c:v>500</c:v>
                </c:pt>
                <c:pt idx="3">
                  <c:v>600</c:v>
                </c:pt>
                <c:pt idx="4">
                  <c:v>700</c:v>
                </c:pt>
                <c:pt idx="5">
                  <c:v>800</c:v>
                </c:pt>
                <c:pt idx="6">
                  <c:v>900</c:v>
                </c:pt>
                <c:pt idx="7">
                  <c:v>1000</c:v>
                </c:pt>
              </c:numCache>
            </c:numRef>
          </c:xVal>
          <c:yVal>
            <c:numRef>
              <c:f>例題6平衡定数アンモニア!$N$2:$N$9</c:f>
              <c:numCache>
                <c:formatCode>0.00_ </c:formatCode>
                <c:ptCount val="8"/>
                <c:pt idx="0">
                  <c:v>5.6744790138910641</c:v>
                </c:pt>
                <c:pt idx="1">
                  <c:v>1.5739154404215507</c:v>
                </c:pt>
                <c:pt idx="2">
                  <c:v>-0.98842955640272179</c:v>
                </c:pt>
                <c:pt idx="3">
                  <c:v>-2.7695510786217259</c:v>
                </c:pt>
                <c:pt idx="4">
                  <c:v>-4.0506099933550876</c:v>
                </c:pt>
                <c:pt idx="5">
                  <c:v>-5.0440718431030493</c:v>
                </c:pt>
                <c:pt idx="6">
                  <c:v>-5.8306195046880509</c:v>
                </c:pt>
                <c:pt idx="7">
                  <c:v>-6.4685210829577446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771-4656-8FEE-457358B02E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9739200"/>
        <c:axId val="279739592"/>
      </c:scatterChart>
      <c:valAx>
        <c:axId val="279739200"/>
        <c:scaling>
          <c:orientation val="minMax"/>
          <c:max val="1000"/>
          <c:min val="3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47860949947046094"/>
              <c:y val="0.88013841956784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79739592"/>
        <c:crossesAt val="-7"/>
        <c:crossBetween val="midCat"/>
        <c:majorUnit val="100"/>
      </c:valAx>
      <c:valAx>
        <c:axId val="279739592"/>
        <c:scaling>
          <c:orientation val="minMax"/>
          <c:max val="6"/>
          <c:min val="-7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log </a:t>
                </a:r>
                <a:r>
                  <a:rPr lang="ja-JP" altLang="en-US" sz="1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K</a:t>
                </a:r>
              </a:p>
            </c:rich>
          </c:tx>
          <c:layout>
            <c:manualLayout>
              <c:xMode val="edge"/>
              <c:yMode val="edge"/>
              <c:x val="3.2085463001335357E-2"/>
              <c:y val="0.275114351500872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279739200"/>
        <c:crosses val="autoZero"/>
        <c:crossBetween val="midCat"/>
        <c:majorUnit val="1"/>
        <c:minorUnit val="1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verticalDpi="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5438932431024"/>
          <c:y val="5.3511705685618728E-2"/>
          <c:w val="0.68378468616011157"/>
          <c:h val="0.7023411371237458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メタン水蒸気改質平衡定数!$O$3:$O$11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メタン水蒸気改質平衡定数!$P$3:$P$11</c:f>
              <c:numCache>
                <c:formatCode>General</c:formatCode>
                <c:ptCount val="9"/>
                <c:pt idx="0">
                  <c:v>2.5000000000000001E-4</c:v>
                </c:pt>
                <c:pt idx="1">
                  <c:v>2.9000000000000001E-2</c:v>
                </c:pt>
                <c:pt idx="2">
                  <c:v>1.19</c:v>
                </c:pt>
                <c:pt idx="3">
                  <c:v>23.8</c:v>
                </c:pt>
                <c:pt idx="4">
                  <c:v>278</c:v>
                </c:pt>
                <c:pt idx="5">
                  <c:v>2168</c:v>
                </c:pt>
                <c:pt idx="6">
                  <c:v>12332</c:v>
                </c:pt>
                <c:pt idx="7">
                  <c:v>54673</c:v>
                </c:pt>
                <c:pt idx="8">
                  <c:v>198360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72E9-4724-90B2-AB4CBB6E34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347151"/>
        <c:axId val="1"/>
      </c:scatterChart>
      <c:valAx>
        <c:axId val="1181347151"/>
        <c:scaling>
          <c:orientation val="minMax"/>
          <c:max val="1600"/>
          <c:min val="6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4576585089026034"/>
              <c:y val="0.886287625418060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1E-4"/>
        <c:crossBetween val="midCat"/>
        <c:majorUnit val="200"/>
        <c:minorUnit val="100"/>
      </c:valAx>
      <c:valAx>
        <c:axId val="1"/>
        <c:scaling>
          <c:logBase val="10"/>
          <c:orientation val="minMax"/>
          <c:max val="1000000"/>
          <c:min val="1E-4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K</a:t>
                </a:r>
              </a:p>
            </c:rich>
          </c:tx>
          <c:layout>
            <c:manualLayout>
              <c:xMode val="edge"/>
              <c:yMode val="edge"/>
              <c:x val="2.2522522522522521E-2"/>
              <c:y val="0.26755887955477137"/>
            </c:manualLayout>
          </c:layout>
          <c:overlay val="0"/>
          <c:spPr>
            <a:noFill/>
            <a:ln w="25400">
              <a:noFill/>
            </a:ln>
          </c:spPr>
        </c:title>
        <c:numFmt formatCode="0.E+00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181347151"/>
        <c:crosses val="autoZero"/>
        <c:crossBetween val="midCat"/>
      </c:valAx>
      <c:spPr>
        <a:noFill/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0810838274438179"/>
          <c:y val="6.0483870967741937E-2"/>
          <c:w val="0.72973069274003999"/>
          <c:h val="0.70564516129032262"/>
        </c:manualLayout>
      </c:layout>
      <c:scatterChart>
        <c:scatterStyle val="smoothMarker"/>
        <c:varyColors val="0"/>
        <c:ser>
          <c:idx val="0"/>
          <c:order val="0"/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メタン水蒸気改質平衡定数!$B$43:$B$48</c:f>
              <c:numCache>
                <c:formatCode>General</c:formatCode>
                <c:ptCount val="6"/>
                <c:pt idx="0">
                  <c:v>0.189</c:v>
                </c:pt>
                <c:pt idx="1">
                  <c:v>0.46</c:v>
                </c:pt>
                <c:pt idx="2">
                  <c:v>0.753</c:v>
                </c:pt>
                <c:pt idx="3">
                  <c:v>0.90900000000000003</c:v>
                </c:pt>
                <c:pt idx="4">
                  <c:v>0.96599999999999997</c:v>
                </c:pt>
                <c:pt idx="5">
                  <c:v>0.98599999999999999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48B2-4463-981A-65106A83BFC7}"/>
            </c:ext>
          </c:extLst>
        </c:ser>
        <c:ser>
          <c:idx val="1"/>
          <c:order val="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メタン水蒸気改質平衡定数!$A$43:$A$48</c:f>
              <c:numCache>
                <c:formatCode>General</c:formatCode>
                <c:ptCount val="6"/>
                <c:pt idx="0">
                  <c:v>500</c:v>
                </c:pt>
                <c:pt idx="1">
                  <c:v>600</c:v>
                </c:pt>
                <c:pt idx="2">
                  <c:v>700</c:v>
                </c:pt>
                <c:pt idx="3">
                  <c:v>800</c:v>
                </c:pt>
                <c:pt idx="4">
                  <c:v>900</c:v>
                </c:pt>
                <c:pt idx="5">
                  <c:v>1000</c:v>
                </c:pt>
              </c:numCache>
            </c:numRef>
          </c:xVal>
          <c:yVal>
            <c:numRef>
              <c:f>メタン水蒸気改質平衡定数!$C$43:$C$48</c:f>
              <c:numCache>
                <c:formatCode>General</c:formatCode>
                <c:ptCount val="6"/>
                <c:pt idx="0">
                  <c:v>6.0999999999999999E-2</c:v>
                </c:pt>
                <c:pt idx="1">
                  <c:v>0.16200000000000001</c:v>
                </c:pt>
                <c:pt idx="2">
                  <c:v>0.34</c:v>
                </c:pt>
                <c:pt idx="3">
                  <c:v>0.56999999999999995</c:v>
                </c:pt>
                <c:pt idx="4">
                  <c:v>0.76400000000000001</c:v>
                </c:pt>
                <c:pt idx="5">
                  <c:v>0.88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48B2-4463-981A-65106A83BF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350479"/>
        <c:axId val="1"/>
      </c:scatterChart>
      <c:valAx>
        <c:axId val="1181350479"/>
        <c:scaling>
          <c:orientation val="minMax"/>
          <c:max val="1000"/>
          <c:min val="5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温度[ ℃]</a:t>
                </a:r>
              </a:p>
            </c:rich>
          </c:tx>
          <c:layout>
            <c:manualLayout>
              <c:xMode val="edge"/>
              <c:yMode val="edge"/>
              <c:x val="0.48648677023480169"/>
              <c:y val="0.87903225806451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crossBetween val="midCat"/>
        <c:majorUnit val="100"/>
      </c:valAx>
      <c:valAx>
        <c:axId val="1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平衡転化率</a:t>
                </a:r>
              </a:p>
            </c:rich>
          </c:tx>
          <c:layout>
            <c:manualLayout>
              <c:xMode val="edge"/>
              <c:yMode val="edge"/>
              <c:x val="7.0270554018585521E-2"/>
              <c:y val="0.2540322580645161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181350479"/>
        <c:crosses val="autoZero"/>
        <c:crossBetween val="midCat"/>
        <c:majorUnit val="0.2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405438932431024"/>
          <c:y val="5.3511705685618728E-2"/>
          <c:w val="0.68378468616011157"/>
          <c:h val="0.7023411371237458"/>
        </c:manualLayout>
      </c:layout>
      <c:scatterChart>
        <c:scatterStyle val="lineMarker"/>
        <c:varyColors val="0"/>
        <c:ser>
          <c:idx val="0"/>
          <c:order val="0"/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メタン水蒸気改質平衡定数!$O$3:$O$11</c:f>
              <c:numCache>
                <c:formatCode>General</c:formatCode>
                <c:ptCount val="9"/>
                <c:pt idx="0">
                  <c:v>700</c:v>
                </c:pt>
                <c:pt idx="1">
                  <c:v>800</c:v>
                </c:pt>
                <c:pt idx="2">
                  <c:v>900</c:v>
                </c:pt>
                <c:pt idx="3">
                  <c:v>1000</c:v>
                </c:pt>
                <c:pt idx="4">
                  <c:v>1100</c:v>
                </c:pt>
                <c:pt idx="5">
                  <c:v>1200</c:v>
                </c:pt>
                <c:pt idx="6">
                  <c:v>1300</c:v>
                </c:pt>
                <c:pt idx="7">
                  <c:v>1400</c:v>
                </c:pt>
                <c:pt idx="8">
                  <c:v>1500</c:v>
                </c:pt>
              </c:numCache>
            </c:numRef>
          </c:xVal>
          <c:yVal>
            <c:numRef>
              <c:f>メタン水蒸気改質平衡定数!$V$3:$V$11</c:f>
              <c:numCache>
                <c:formatCode>General</c:formatCode>
                <c:ptCount val="9"/>
                <c:pt idx="0">
                  <c:v>-3.6020599913279625</c:v>
                </c:pt>
                <c:pt idx="1">
                  <c:v>-1.5376020021010439</c:v>
                </c:pt>
                <c:pt idx="2">
                  <c:v>7.554696139253074E-2</c:v>
                </c:pt>
                <c:pt idx="3">
                  <c:v>1.3765769570565121</c:v>
                </c:pt>
                <c:pt idx="4">
                  <c:v>2.4440447959180762</c:v>
                </c:pt>
                <c:pt idx="5">
                  <c:v>3.3360592778663491</c:v>
                </c:pt>
                <c:pt idx="6">
                  <c:v>4.0910335160544706</c:v>
                </c:pt>
                <c:pt idx="7">
                  <c:v>4.7377729050183062</c:v>
                </c:pt>
                <c:pt idx="8">
                  <c:v>5.2974540996190722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7A6-4B39-AB86-8DFAE1AF34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1345487"/>
        <c:axId val="1"/>
      </c:scatterChart>
      <c:valAx>
        <c:axId val="1181345487"/>
        <c:scaling>
          <c:orientation val="minMax"/>
          <c:max val="1600"/>
          <c:min val="600"/>
        </c:scaling>
        <c:delete val="0"/>
        <c:axPos val="b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温度 [K]</a:t>
                </a:r>
              </a:p>
            </c:rich>
          </c:tx>
          <c:layout>
            <c:manualLayout>
              <c:xMode val="edge"/>
              <c:yMode val="edge"/>
              <c:x val="0.51531616656026102"/>
              <c:y val="0.8639910813823857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-4"/>
        <c:crossBetween val="midCat"/>
        <c:majorUnit val="200"/>
        <c:minorUnit val="100"/>
      </c:valAx>
      <c:valAx>
        <c:axId val="1"/>
        <c:scaling>
          <c:orientation val="minMax"/>
          <c:max val="6"/>
          <c:min val="-4"/>
        </c:scaling>
        <c:delete val="0"/>
        <c:axPos val="l"/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Yu Gothic"/>
                    <a:ea typeface="Yu Gothic"/>
                    <a:cs typeface="Yu Gothic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平衡定数　log </a:t>
                </a:r>
                <a:r>
                  <a:rPr lang="ja-JP" altLang="en-US" sz="1100" b="0" i="1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K</a:t>
                </a:r>
              </a:p>
            </c:rich>
          </c:tx>
          <c:layout>
            <c:manualLayout>
              <c:xMode val="edge"/>
              <c:yMode val="edge"/>
              <c:x val="8.3783783783783788E-2"/>
              <c:y val="0.272017837235228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 panose="020B0604020202020204" pitchFamily="34" charset="0"/>
                <a:ea typeface="ＭＳ Ｐゴシック"/>
                <a:cs typeface="Arial" panose="020B0604020202020204" pitchFamily="34" charset="0"/>
              </a:defRPr>
            </a:pPr>
            <a:endParaRPr lang="ja-JP"/>
          </a:p>
        </c:txPr>
        <c:crossAx val="1181345487"/>
        <c:crosses val="autoZero"/>
        <c:crossBetween val="midCat"/>
        <c:majorUnit val="1"/>
        <c:minorUnit val="1"/>
      </c:valAx>
      <c:spPr>
        <a:noFill/>
        <a:ln w="1905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3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image" Target="../media/image14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8.wmf"/><Relationship Id="rId3" Type="http://schemas.openxmlformats.org/officeDocument/2006/relationships/image" Target="../media/image3.wmf"/><Relationship Id="rId7" Type="http://schemas.openxmlformats.org/officeDocument/2006/relationships/image" Target="../media/image7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6" Type="http://schemas.openxmlformats.org/officeDocument/2006/relationships/image" Target="../media/image6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411480</xdr:colOff>
          <xdr:row>0</xdr:row>
          <xdr:rowOff>0</xdr:rowOff>
        </xdr:from>
        <xdr:to>
          <xdr:col>9</xdr:col>
          <xdr:colOff>594360</xdr:colOff>
          <xdr:row>0</xdr:row>
          <xdr:rowOff>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200026</xdr:colOff>
      <xdr:row>51</xdr:row>
      <xdr:rowOff>106597</xdr:rowOff>
    </xdr:from>
    <xdr:to>
      <xdr:col>10</xdr:col>
      <xdr:colOff>189341</xdr:colOff>
      <xdr:row>69</xdr:row>
      <xdr:rowOff>0</xdr:rowOff>
    </xdr:to>
    <xdr:graphicFrame macro="">
      <xdr:nvGraphicFramePr>
        <xdr:cNvPr id="127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336440</xdr:colOff>
      <xdr:row>30</xdr:row>
      <xdr:rowOff>2070</xdr:rowOff>
    </xdr:from>
    <xdr:to>
      <xdr:col>12</xdr:col>
      <xdr:colOff>1104900</xdr:colOff>
      <xdr:row>49</xdr:row>
      <xdr:rowOff>15240</xdr:rowOff>
    </xdr:to>
    <xdr:graphicFrame macro="">
      <xdr:nvGraphicFramePr>
        <xdr:cNvPr id="1278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7620</xdr:colOff>
          <xdr:row>15</xdr:row>
          <xdr:rowOff>83820</xdr:rowOff>
        </xdr:from>
        <xdr:to>
          <xdr:col>8</xdr:col>
          <xdr:colOff>152400</xdr:colOff>
          <xdr:row>16</xdr:row>
          <xdr:rowOff>160020</xdr:rowOff>
        </xdr:to>
        <xdr:sp macro="" textlink="">
          <xdr:nvSpPr>
            <xdr:cNvPr id="1045" name="Object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83820</xdr:colOff>
          <xdr:row>16</xdr:row>
          <xdr:rowOff>99060</xdr:rowOff>
        </xdr:from>
        <xdr:to>
          <xdr:col>11</xdr:col>
          <xdr:colOff>198120</xdr:colOff>
          <xdr:row>18</xdr:row>
          <xdr:rowOff>0</xdr:rowOff>
        </xdr:to>
        <xdr:sp macro="" textlink="">
          <xdr:nvSpPr>
            <xdr:cNvPr id="1046" name="Object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137160</xdr:colOff>
          <xdr:row>17</xdr:row>
          <xdr:rowOff>144780</xdr:rowOff>
        </xdr:from>
        <xdr:to>
          <xdr:col>14</xdr:col>
          <xdr:colOff>403860</xdr:colOff>
          <xdr:row>20</xdr:row>
          <xdr:rowOff>38100</xdr:rowOff>
        </xdr:to>
        <xdr:sp macro="" textlink="">
          <xdr:nvSpPr>
            <xdr:cNvPr id="1047" name="Object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7620</xdr:colOff>
          <xdr:row>22</xdr:row>
          <xdr:rowOff>99060</xdr:rowOff>
        </xdr:from>
        <xdr:to>
          <xdr:col>9</xdr:col>
          <xdr:colOff>365760</xdr:colOff>
          <xdr:row>23</xdr:row>
          <xdr:rowOff>152400</xdr:rowOff>
        </xdr:to>
        <xdr:sp macro="" textlink="">
          <xdr:nvSpPr>
            <xdr:cNvPr id="1049" name="Object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137160</xdr:colOff>
          <xdr:row>24</xdr:row>
          <xdr:rowOff>22860</xdr:rowOff>
        </xdr:from>
        <xdr:to>
          <xdr:col>8</xdr:col>
          <xdr:colOff>784860</xdr:colOff>
          <xdr:row>24</xdr:row>
          <xdr:rowOff>175260</xdr:rowOff>
        </xdr:to>
        <xdr:sp macro="" textlink="">
          <xdr:nvSpPr>
            <xdr:cNvPr id="1050" name="Object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27</xdr:row>
          <xdr:rowOff>0</xdr:rowOff>
        </xdr:from>
        <xdr:to>
          <xdr:col>9</xdr:col>
          <xdr:colOff>266700</xdr:colOff>
          <xdr:row>29</xdr:row>
          <xdr:rowOff>121920</xdr:rowOff>
        </xdr:to>
        <xdr:sp macro="" textlink="">
          <xdr:nvSpPr>
            <xdr:cNvPr id="1051" name="Object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15</xdr:col>
      <xdr:colOff>324419</xdr:colOff>
      <xdr:row>0</xdr:row>
      <xdr:rowOff>0</xdr:rowOff>
    </xdr:from>
    <xdr:to>
      <xdr:col>20</xdr:col>
      <xdr:colOff>458388</xdr:colOff>
      <xdr:row>16</xdr:row>
      <xdr:rowOff>15903</xdr:rowOff>
    </xdr:to>
    <xdr:graphicFrame macro="">
      <xdr:nvGraphicFramePr>
        <xdr:cNvPr id="1279" name="グラフ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255723</xdr:colOff>
      <xdr:row>16</xdr:row>
      <xdr:rowOff>112253</xdr:rowOff>
    </xdr:from>
    <xdr:to>
      <xdr:col>19</xdr:col>
      <xdr:colOff>550699</xdr:colOff>
      <xdr:row>33</xdr:row>
      <xdr:rowOff>20813</xdr:rowOff>
    </xdr:to>
    <xdr:graphicFrame macro="">
      <xdr:nvGraphicFramePr>
        <xdr:cNvPr id="1280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280792</xdr:colOff>
      <xdr:row>14</xdr:row>
      <xdr:rowOff>25513</xdr:rowOff>
    </xdr:from>
    <xdr:to>
      <xdr:col>12</xdr:col>
      <xdr:colOff>178298</xdr:colOff>
      <xdr:row>30</xdr:row>
      <xdr:rowOff>37206</xdr:rowOff>
    </xdr:to>
    <xdr:graphicFrame macro="">
      <xdr:nvGraphicFramePr>
        <xdr:cNvPr id="1281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274320</xdr:colOff>
          <xdr:row>20</xdr:row>
          <xdr:rowOff>0</xdr:rowOff>
        </xdr:from>
        <xdr:to>
          <xdr:col>12</xdr:col>
          <xdr:colOff>708660</xdr:colOff>
          <xdr:row>22</xdr:row>
          <xdr:rowOff>60960</xdr:rowOff>
        </xdr:to>
        <xdr:sp macro="" textlink="">
          <xdr:nvSpPr>
            <xdr:cNvPr id="1052" name="Object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19</xdr:col>
      <xdr:colOff>416525</xdr:colOff>
      <xdr:row>0</xdr:row>
      <xdr:rowOff>0</xdr:rowOff>
    </xdr:from>
    <xdr:to>
      <xdr:col>25</xdr:col>
      <xdr:colOff>199576</xdr:colOff>
      <xdr:row>15</xdr:row>
      <xdr:rowOff>122251</xdr:rowOff>
    </xdr:to>
    <xdr:graphicFrame macro="">
      <xdr:nvGraphicFramePr>
        <xdr:cNvPr id="15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0.37615</cdr:x>
      <cdr:y>0.10335</cdr:y>
    </cdr:from>
    <cdr:to>
      <cdr:x>0.55476</cdr:x>
      <cdr:y>0.18174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25662" y="244127"/>
          <a:ext cx="629468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P= 0.1 MPa</a:t>
          </a:r>
        </a:p>
      </cdr:txBody>
    </cdr:sp>
  </cdr:relSizeAnchor>
  <cdr:relSizeAnchor xmlns:cdr="http://schemas.openxmlformats.org/drawingml/2006/chartDrawing">
    <cdr:from>
      <cdr:x>0.61019</cdr:x>
      <cdr:y>0.39969</cdr:y>
    </cdr:from>
    <cdr:to>
      <cdr:x>0.7888</cdr:x>
      <cdr:y>0.47808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0468" y="944141"/>
          <a:ext cx="629468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P= 1.0 MPa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0.30446</cdr:x>
      <cdr:y>0.14827</cdr:y>
    </cdr:from>
    <cdr:to>
      <cdr:x>0.62427</cdr:x>
      <cdr:y>0.21329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72997" y="422265"/>
          <a:ext cx="1127103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H＞0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吸熱反応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0.29899</cdr:x>
      <cdr:y>0.06761</cdr:y>
    </cdr:from>
    <cdr:to>
      <cdr:x>0.74513</cdr:x>
      <cdr:y>0.14787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750" y="190500"/>
          <a:ext cx="1571429" cy="228571"/>
        </a:xfrm>
        <a:prstGeom xmlns:a="http://schemas.openxmlformats.org/drawingml/2006/main" prst="rect">
          <a:avLst/>
        </a:prstGeom>
      </cdr:spPr>
    </cdr:pic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0.30108</cdr:x>
      <cdr:y>0.19859</cdr:y>
    </cdr:from>
    <cdr:to>
      <cdr:x>0.51305</cdr:x>
      <cdr:y>0.27058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5756" y="540227"/>
          <a:ext cx="602474" cy="19583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P= 0.1 MPa</a:t>
          </a:r>
        </a:p>
      </cdr:txBody>
    </cdr:sp>
  </cdr:relSizeAnchor>
  <cdr:relSizeAnchor xmlns:cdr="http://schemas.openxmlformats.org/drawingml/2006/chartDrawing">
    <cdr:from>
      <cdr:x>0.61019</cdr:x>
      <cdr:y>0.47812</cdr:y>
    </cdr:from>
    <cdr:to>
      <cdr:x>0.78471</cdr:x>
      <cdr:y>0.53912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34319" y="1300653"/>
          <a:ext cx="496033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1.0 MPa</a:t>
          </a:r>
        </a:p>
      </cdr:txBody>
    </cdr:sp>
  </cdr:relSizeAnchor>
  <cdr:relSizeAnchor xmlns:cdr="http://schemas.openxmlformats.org/drawingml/2006/chartDrawing">
    <cdr:from>
      <cdr:x>0.33594</cdr:x>
      <cdr:y>0.06576</cdr:y>
    </cdr:from>
    <cdr:to>
      <cdr:x>0.82749</cdr:x>
      <cdr:y>0.13617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32832" y="183613"/>
          <a:ext cx="1511284" cy="19662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0.33594</cdr:x>
      <cdr:y>0.06576</cdr:y>
    </cdr:from>
    <cdr:to>
      <cdr:x>0.82749</cdr:x>
      <cdr:y>0.13617</cdr:y>
    </cdr:to>
    <cdr:pic>
      <cdr:nvPicPr>
        <cdr:cNvPr id="5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32832" y="183613"/>
          <a:ext cx="1511284" cy="19662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0.33594</cdr:x>
      <cdr:y>0.06576</cdr:y>
    </cdr:from>
    <cdr:to>
      <cdr:x>0.82749</cdr:x>
      <cdr:y>0.13617</cdr:y>
    </cdr:to>
    <cdr:pic>
      <cdr:nvPicPr>
        <cdr:cNvPr id="8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32832" y="183613"/>
          <a:ext cx="1511284" cy="19662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0.53909</cdr:x>
      <cdr:y>0.6627</cdr:y>
    </cdr:from>
    <cdr:to>
      <cdr:x>0.67008</cdr:x>
      <cdr:y>0.73423</cdr:y>
    </cdr:to>
    <cdr:sp macro="" textlink="">
      <cdr:nvSpPr>
        <cdr:cNvPr id="11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7427" y="1850475"/>
          <a:ext cx="402733" cy="1997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COCO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0.42131</cdr:x>
      <cdr:y>0.7372</cdr:y>
    </cdr:from>
    <cdr:to>
      <cdr:x>0.52133</cdr:x>
      <cdr:y>0.80915</cdr:y>
    </cdr:to>
    <cdr:sp macro="" textlink="">
      <cdr:nvSpPr>
        <cdr:cNvPr id="12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95297" y="2058485"/>
          <a:ext cx="307523" cy="200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Excel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0.48596</cdr:x>
      <cdr:y>0.59609</cdr:y>
    </cdr:from>
    <cdr:to>
      <cdr:x>0.54849</cdr:x>
      <cdr:y>0.6637</cdr:y>
    </cdr:to>
    <cdr:cxnSp macro="">
      <cdr:nvCxnSpPr>
        <cdr:cNvPr id="13" name="直線コネクタ 12"/>
        <cdr:cNvCxnSpPr/>
      </cdr:nvCxnSpPr>
      <cdr:spPr>
        <a:xfrm xmlns:a="http://schemas.openxmlformats.org/drawingml/2006/main" flipH="1" flipV="1">
          <a:off x="1494070" y="1664466"/>
          <a:ext cx="192261" cy="188802"/>
        </a:xfrm>
        <a:prstGeom xmlns:a="http://schemas.openxmlformats.org/drawingml/2006/main" prst="line">
          <a:avLst/>
        </a:prstGeom>
        <a:ln xmlns:a="http://schemas.openxmlformats.org/drawingml/2006/main" w="25400" cap="sq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0.39637</cdr:x>
      <cdr:y>0.69061</cdr:y>
    </cdr:from>
    <cdr:to>
      <cdr:x>0.45001</cdr:x>
      <cdr:y>0.73994</cdr:y>
    </cdr:to>
    <cdr:cxnSp macro="">
      <cdr:nvCxnSpPr>
        <cdr:cNvPr id="14" name="直線コネクタ 13"/>
        <cdr:cNvCxnSpPr/>
      </cdr:nvCxnSpPr>
      <cdr:spPr>
        <a:xfrm xmlns:a="http://schemas.openxmlformats.org/drawingml/2006/main" flipH="1" flipV="1">
          <a:off x="1218649" y="1928411"/>
          <a:ext cx="164911" cy="137750"/>
        </a:xfrm>
        <a:prstGeom xmlns:a="http://schemas.openxmlformats.org/drawingml/2006/main" prst="line">
          <a:avLst/>
        </a:prstGeom>
        <a:ln xmlns:a="http://schemas.openxmlformats.org/drawingml/2006/main" w="6350" cap="sq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0.91492</cdr:y>
    </cdr:from>
    <cdr:to>
      <cdr:x>0.07286</cdr:x>
      <cdr:y>0.98537</cdr:y>
    </cdr:to>
    <cdr:sp macro="" textlink="">
      <cdr:nvSpPr>
        <cdr:cNvPr id="1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538963"/>
          <a:ext cx="206531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(a)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0</xdr:row>
          <xdr:rowOff>0</xdr:rowOff>
        </xdr:from>
        <xdr:to>
          <xdr:col>9</xdr:col>
          <xdr:colOff>601980</xdr:colOff>
          <xdr:row>0</xdr:row>
          <xdr:rowOff>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257175</xdr:colOff>
      <xdr:row>17</xdr:row>
      <xdr:rowOff>9525</xdr:rowOff>
    </xdr:from>
    <xdr:to>
      <xdr:col>12</xdr:col>
      <xdr:colOff>123825</xdr:colOff>
      <xdr:row>31</xdr:row>
      <xdr:rowOff>0</xdr:rowOff>
    </xdr:to>
    <xdr:graphicFrame macro="">
      <xdr:nvGraphicFramePr>
        <xdr:cNvPr id="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180975</xdr:colOff>
      <xdr:row>0</xdr:row>
      <xdr:rowOff>114300</xdr:rowOff>
    </xdr:from>
    <xdr:to>
      <xdr:col>21</xdr:col>
      <xdr:colOff>9525</xdr:colOff>
      <xdr:row>16</xdr:row>
      <xdr:rowOff>133350</xdr:rowOff>
    </xdr:to>
    <xdr:graphicFrame macro="">
      <xdr:nvGraphicFramePr>
        <xdr:cNvPr id="4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55</xdr:row>
      <xdr:rowOff>9525</xdr:rowOff>
    </xdr:from>
    <xdr:to>
      <xdr:col>11</xdr:col>
      <xdr:colOff>466725</xdr:colOff>
      <xdr:row>71</xdr:row>
      <xdr:rowOff>47625</xdr:rowOff>
    </xdr:to>
    <xdr:graphicFrame macro="">
      <xdr:nvGraphicFramePr>
        <xdr:cNvPr id="5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447675</xdr:colOff>
      <xdr:row>0</xdr:row>
      <xdr:rowOff>0</xdr:rowOff>
    </xdr:from>
    <xdr:to>
      <xdr:col>12</xdr:col>
      <xdr:colOff>409575</xdr:colOff>
      <xdr:row>16</xdr:row>
      <xdr:rowOff>19050</xdr:rowOff>
    </xdr:to>
    <xdr:graphicFrame macro="">
      <xdr:nvGraphicFramePr>
        <xdr:cNvPr id="6" name="グラフ 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91440</xdr:colOff>
      <xdr:row>33</xdr:row>
      <xdr:rowOff>129540</xdr:rowOff>
    </xdr:from>
    <xdr:to>
      <xdr:col>12</xdr:col>
      <xdr:colOff>289560</xdr:colOff>
      <xdr:row>50</xdr:row>
      <xdr:rowOff>45720</xdr:rowOff>
    </xdr:to>
    <xdr:graphicFrame macro="">
      <xdr:nvGraphicFramePr>
        <xdr:cNvPr id="7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0.37597</cdr:x>
      <cdr:y>0.54518</cdr:y>
    </cdr:from>
    <cdr:to>
      <cdr:x>0.54064</cdr:x>
      <cdr:y>0.6135</cdr:y>
    </cdr:to>
    <cdr:sp macro="" textlink="">
      <cdr:nvSpPr>
        <cdr:cNvPr id="3481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03528" y="1324170"/>
          <a:ext cx="570926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p= 1 MPa</a:t>
          </a:r>
        </a:p>
      </cdr:txBody>
    </cdr:sp>
  </cdr:relSizeAnchor>
  <cdr:relSizeAnchor xmlns:cdr="http://schemas.openxmlformats.org/drawingml/2006/chartDrawing">
    <cdr:from>
      <cdr:x>0.41659</cdr:x>
      <cdr:y>0.28091</cdr:y>
    </cdr:from>
    <cdr:to>
      <cdr:x>0.60182</cdr:x>
      <cdr:y>0.34923</cdr:y>
    </cdr:to>
    <cdr:sp macro="" textlink="">
      <cdr:nvSpPr>
        <cdr:cNvPr id="3481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44352" y="682304"/>
          <a:ext cx="642227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p= 10 MPa</a:t>
          </a:r>
        </a:p>
      </cdr:txBody>
    </cdr:sp>
  </cdr:relSizeAnchor>
  <cdr:relSizeAnchor xmlns:cdr="http://schemas.openxmlformats.org/drawingml/2006/chartDrawing">
    <cdr:from>
      <cdr:x>0.48808</cdr:x>
      <cdr:y>0.07526</cdr:y>
    </cdr:from>
    <cdr:to>
      <cdr:x>0.67331</cdr:x>
      <cdr:y>0.14358</cdr:y>
    </cdr:to>
    <cdr:sp macro="" textlink="">
      <cdr:nvSpPr>
        <cdr:cNvPr id="3481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92206" y="182801"/>
          <a:ext cx="642227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p= 20 MPa</a:t>
          </a:r>
        </a:p>
      </cdr:txBody>
    </cdr:sp>
  </cdr:relSizeAnchor>
  <cdr:relSizeAnchor xmlns:cdr="http://schemas.openxmlformats.org/drawingml/2006/chartDrawing">
    <cdr:from>
      <cdr:x>0.74023</cdr:x>
      <cdr:y>0.66193</cdr:y>
    </cdr:from>
    <cdr:to>
      <cdr:x>0.89914</cdr:x>
      <cdr:y>0.73817</cdr:y>
    </cdr:to>
    <cdr:sp macro="" textlink="">
      <cdr:nvSpPr>
        <cdr:cNvPr id="34820" name="Text Box 102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6440" y="1607754"/>
          <a:ext cx="550985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メタノール</a:t>
          </a:r>
        </a:p>
      </cdr:txBody>
    </cdr:sp>
  </cdr:relSizeAnchor>
  <cdr:relSizeAnchor xmlns:cdr="http://schemas.openxmlformats.org/drawingml/2006/chartDrawing">
    <cdr:from>
      <cdr:x>0.74023</cdr:x>
      <cdr:y>0.2307</cdr:y>
    </cdr:from>
    <cdr:to>
      <cdr:x>0.88361</cdr:x>
      <cdr:y>0.29902</cdr:y>
    </cdr:to>
    <cdr:sp macro="" textlink="">
      <cdr:nvSpPr>
        <cdr:cNvPr id="34821" name="Text Box 10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66440" y="560344"/>
          <a:ext cx="497124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CO+2H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0.74023</cdr:x>
      <cdr:y>0.35947</cdr:y>
    </cdr:from>
    <cdr:to>
      <cdr:x>0.74023</cdr:x>
      <cdr:y>0.76476</cdr:y>
    </cdr:to>
    <cdr:sp macro="" textlink="">
      <cdr:nvSpPr>
        <cdr:cNvPr id="34822" name="Line 1030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575842" y="879689"/>
          <a:ext cx="0" cy="99115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0.74023</cdr:x>
      <cdr:y>0.07526</cdr:y>
    </cdr:from>
    <cdr:to>
      <cdr:x>0.74023</cdr:x>
      <cdr:y>0.33953</cdr:y>
    </cdr:to>
    <cdr:sp macro="" textlink="">
      <cdr:nvSpPr>
        <cdr:cNvPr id="34823" name="Line 103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575842" y="184360"/>
          <a:ext cx="0" cy="64670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0.57747</cdr:x>
      <cdr:y>0.17892</cdr:y>
    </cdr:from>
    <cdr:to>
      <cdr:x>0.85614</cdr:x>
      <cdr:y>0.24117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7156" y="497635"/>
          <a:ext cx="992708" cy="173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en-US" altLang="ja-JP" sz="9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r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H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＜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Arial"/>
              <a:ea typeface="ＭＳ Ｐゴシック"/>
              <a:cs typeface="Arial"/>
            </a:rPr>
            <a:t>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発熱反応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)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0.52623</cdr:x>
      <cdr:y>0.07269</cdr:y>
    </cdr:from>
    <cdr:to>
      <cdr:x>0.9173</cdr:x>
      <cdr:y>0.16268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66900" y="209550"/>
          <a:ext cx="1390476" cy="247619"/>
        </a:xfrm>
        <a:prstGeom xmlns:a="http://schemas.openxmlformats.org/drawingml/2006/main" prst="rect">
          <a:avLst/>
        </a:prstGeom>
      </cdr:spPr>
    </cdr:pic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0.68104</cdr:x>
      <cdr:y>0.19237</cdr:y>
    </cdr:from>
    <cdr:to>
      <cdr:x>0.8403</cdr:x>
      <cdr:y>0.25462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847732" y="535046"/>
          <a:ext cx="665952" cy="1731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Arial"/>
              <a:cs typeface="Arial"/>
            </a:rPr>
            <a:t>ΔH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＜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Arial"/>
              <a:ea typeface="ＭＳ Ｐゴシック"/>
              <a:cs typeface="Arial"/>
            </a:rPr>
            <a:t>0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　発熱</a:t>
          </a: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0.57699</cdr:x>
      <cdr:y>0.17844</cdr:y>
    </cdr:from>
    <cdr:to>
      <cdr:x>0.88604</cdr:x>
      <cdr:y>0.24668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55451" y="496300"/>
          <a:ext cx="1100942" cy="189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Δ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r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＜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ea typeface="ＭＳ Ｐゴシック"/>
              <a:cs typeface="Arial"/>
            </a:rPr>
            <a:t>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発熱反応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)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0.52527</cdr:x>
      <cdr:y>0.07245</cdr:y>
    </cdr:from>
    <cdr:to>
      <cdr:x>0.9173</cdr:x>
      <cdr:y>0.1622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866900" y="209550"/>
          <a:ext cx="1390476" cy="247619"/>
        </a:xfrm>
        <a:prstGeom xmlns:a="http://schemas.openxmlformats.org/drawingml/2006/main" prst="rect">
          <a:avLst/>
        </a:prstGeom>
      </cdr:spPr>
    </cdr:pic>
  </cdr:relSizeAnchor>
</c:userShapes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0.34375</cdr:x>
      <cdr:y>0.68378</cdr:y>
    </cdr:from>
    <cdr:to>
      <cdr:x>0.53971</cdr:x>
      <cdr:y>0.75017</cdr:y>
    </cdr:to>
    <cdr:sp macro="" textlink="">
      <cdr:nvSpPr>
        <cdr:cNvPr id="34817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7423" y="1960490"/>
          <a:ext cx="585696" cy="190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P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=1 MPa</a:t>
          </a:r>
        </a:p>
      </cdr:txBody>
    </cdr:sp>
  </cdr:relSizeAnchor>
  <cdr:relSizeAnchor xmlns:cdr="http://schemas.openxmlformats.org/drawingml/2006/chartDrawing">
    <cdr:from>
      <cdr:x>0.58133</cdr:x>
      <cdr:y>0.56664</cdr:y>
    </cdr:from>
    <cdr:to>
      <cdr:x>0.74551</cdr:x>
      <cdr:y>0.63304</cdr:y>
    </cdr:to>
    <cdr:sp macro="" textlink="">
      <cdr:nvSpPr>
        <cdr:cNvPr id="34818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30156" y="1416242"/>
          <a:ext cx="460382" cy="1659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10 MPa</a:t>
          </a:r>
        </a:p>
      </cdr:txBody>
    </cdr:sp>
  </cdr:relSizeAnchor>
  <cdr:relSizeAnchor xmlns:cdr="http://schemas.openxmlformats.org/drawingml/2006/chartDrawing">
    <cdr:from>
      <cdr:x>0.7701</cdr:x>
      <cdr:y>0.36943</cdr:y>
    </cdr:from>
    <cdr:to>
      <cdr:x>0.93428</cdr:x>
      <cdr:y>0.43582</cdr:y>
    </cdr:to>
    <cdr:sp macro="" textlink="">
      <cdr:nvSpPr>
        <cdr:cNvPr id="34819" name="Text Box 10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301711" y="1059202"/>
          <a:ext cx="490710" cy="1903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20 MPa</a:t>
          </a:r>
        </a:p>
      </cdr:txBody>
    </cdr:sp>
  </cdr:relSizeAnchor>
  <cdr:relSizeAnchor xmlns:cdr="http://schemas.openxmlformats.org/drawingml/2006/chartDrawing">
    <cdr:from>
      <cdr:x>0.22788</cdr:x>
      <cdr:y>0.37855</cdr:y>
    </cdr:from>
    <cdr:to>
      <cdr:x>0.36262</cdr:x>
      <cdr:y>0.44821</cdr:y>
    </cdr:to>
    <cdr:sp macro="" textlink="">
      <cdr:nvSpPr>
        <cdr:cNvPr id="9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942" y="1049964"/>
          <a:ext cx="403236" cy="1932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COCO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0.25838</cdr:x>
      <cdr:y>0.55116</cdr:y>
    </cdr:from>
    <cdr:to>
      <cdr:x>0.36127</cdr:x>
      <cdr:y>0.62124</cdr:y>
    </cdr:to>
    <cdr:sp macro="" textlink="">
      <cdr:nvSpPr>
        <cdr:cNvPr id="10" name="Text Box 102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2261" y="1580254"/>
          <a:ext cx="307523" cy="200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Excel</a:t>
          </a:r>
          <a:endParaRPr lang="ja-JP" altLang="en-US" sz="10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0.39402</cdr:x>
      <cdr:y>0.06079</cdr:y>
    </cdr:from>
    <cdr:to>
      <cdr:x>0.77803</cdr:x>
      <cdr:y>0.12672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177678" y="174288"/>
          <a:ext cx="1147740" cy="18902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0.28362</cdr:x>
      <cdr:y>0.30721</cdr:y>
    </cdr:from>
    <cdr:to>
      <cdr:x>0.34766</cdr:x>
      <cdr:y>0.37552</cdr:y>
    </cdr:to>
    <cdr:cxnSp macro="">
      <cdr:nvCxnSpPr>
        <cdr:cNvPr id="4" name="直線コネクタ 3"/>
        <cdr:cNvCxnSpPr/>
      </cdr:nvCxnSpPr>
      <cdr:spPr>
        <a:xfrm xmlns:a="http://schemas.openxmlformats.org/drawingml/2006/main" flipV="1">
          <a:off x="847707" y="880822"/>
          <a:ext cx="191390" cy="195841"/>
        </a:xfrm>
        <a:prstGeom xmlns:a="http://schemas.openxmlformats.org/drawingml/2006/main" prst="line">
          <a:avLst/>
        </a:prstGeom>
        <a:ln xmlns:a="http://schemas.openxmlformats.org/drawingml/2006/main" w="25400" cap="sq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0.3551</cdr:x>
      <cdr:y>0.47953</cdr:y>
    </cdr:from>
    <cdr:to>
      <cdr:x>0.41914</cdr:x>
      <cdr:y>0.54783</cdr:y>
    </cdr:to>
    <cdr:cxnSp macro="">
      <cdr:nvCxnSpPr>
        <cdr:cNvPr id="11" name="直線コネクタ 10"/>
        <cdr:cNvCxnSpPr/>
      </cdr:nvCxnSpPr>
      <cdr:spPr>
        <a:xfrm xmlns:a="http://schemas.openxmlformats.org/drawingml/2006/main" flipV="1">
          <a:off x="1061352" y="1374875"/>
          <a:ext cx="191390" cy="195841"/>
        </a:xfrm>
        <a:prstGeom xmlns:a="http://schemas.openxmlformats.org/drawingml/2006/main" prst="line">
          <a:avLst/>
        </a:prstGeom>
        <a:ln xmlns:a="http://schemas.openxmlformats.org/drawingml/2006/main" w="6350" cap="sq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0.91534</cdr:y>
    </cdr:from>
    <cdr:to>
      <cdr:x>0.07368</cdr:x>
      <cdr:y>0.98529</cdr:y>
    </cdr:to>
    <cdr:sp macro="" textlink="">
      <cdr:nvSpPr>
        <cdr:cNvPr id="1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2558236"/>
          <a:ext cx="206531" cy="1955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(b)</a:t>
          </a:r>
          <a:endParaRPr lang="ja-JP" altLang="en-US" sz="12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485030</xdr:colOff>
      <xdr:row>11</xdr:row>
      <xdr:rowOff>95416</xdr:rowOff>
    </xdr:from>
    <xdr:to>
      <xdr:col>13</xdr:col>
      <xdr:colOff>294198</xdr:colOff>
      <xdr:row>25</xdr:row>
      <xdr:rowOff>71562</xdr:rowOff>
    </xdr:to>
    <xdr:graphicFrame macro="">
      <xdr:nvGraphicFramePr>
        <xdr:cNvPr id="26685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3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4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5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7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9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1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0.55154</cdr:x>
      <cdr:y>0.33424</cdr:y>
    </cdr:from>
    <cdr:to>
      <cdr:x>0.59008</cdr:x>
      <cdr:y>0.52613</cdr:y>
    </cdr:to>
    <cdr:sp macro="" textlink="">
      <cdr:nvSpPr>
        <cdr:cNvPr id="11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962148" y="91842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FF0000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0.79236</cdr:x>
      <cdr:y>0.49569</cdr:y>
    </cdr:from>
    <cdr:to>
      <cdr:x>0.83114</cdr:x>
      <cdr:y>0.6883</cdr:y>
    </cdr:to>
    <cdr:sp macro="" textlink="">
      <cdr:nvSpPr>
        <cdr:cNvPr id="12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819398" y="1356574"/>
          <a:ext cx="137779" cy="51984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0.54326</cdr:x>
      <cdr:y>0.25183</cdr:y>
    </cdr:from>
    <cdr:to>
      <cdr:x>0.67463</cdr:x>
      <cdr:y>0.34335</cdr:y>
    </cdr:to>
    <cdr:sp macro="" textlink="">
      <cdr:nvSpPr>
        <cdr:cNvPr id="13" name="テキスト ボックス 12"/>
        <cdr:cNvSpPr txBox="1"/>
      </cdr:nvSpPr>
      <cdr:spPr>
        <a:xfrm xmlns:a="http://schemas.openxmlformats.org/drawingml/2006/main">
          <a:off x="1933575" y="695325"/>
          <a:ext cx="466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50"/>
            <a:t>荒井</a:t>
          </a:r>
        </a:p>
      </cdr:txBody>
    </cdr:sp>
  </cdr:relSizeAnchor>
  <cdr:relSizeAnchor xmlns:cdr="http://schemas.openxmlformats.org/drawingml/2006/chartDrawing">
    <cdr:from>
      <cdr:x>0.67999</cdr:x>
      <cdr:y>0.31169</cdr:y>
    </cdr:from>
    <cdr:to>
      <cdr:x>0.81137</cdr:x>
      <cdr:y>0.40297</cdr:y>
    </cdr:to>
    <cdr:sp macro="" textlink="">
      <cdr:nvSpPr>
        <cdr:cNvPr id="15" name="テキスト ボックス 14"/>
        <cdr:cNvSpPr txBox="1"/>
      </cdr:nvSpPr>
      <cdr:spPr>
        <a:xfrm xmlns:a="http://schemas.openxmlformats.org/drawingml/2006/main">
          <a:off x="2419350" y="857250"/>
          <a:ext cx="4667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1050"/>
            <a:t>Murphy</a:t>
          </a:r>
          <a:endParaRPr lang="ja-JP" altLang="en-US" sz="1050"/>
        </a:p>
      </cdr:txBody>
    </cdr:sp>
  </cdr:relSizeAnchor>
  <cdr:relSizeAnchor xmlns:cdr="http://schemas.openxmlformats.org/drawingml/2006/chartDrawing">
    <cdr:from>
      <cdr:x>0.66928</cdr:x>
      <cdr:y>0.41327</cdr:y>
    </cdr:from>
    <cdr:to>
      <cdr:x>0.699</cdr:x>
      <cdr:y>0.58208</cdr:y>
    </cdr:to>
    <cdr:sp macro="" textlink="">
      <cdr:nvSpPr>
        <cdr:cNvPr id="1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381266" y="1133474"/>
          <a:ext cx="104760" cy="45718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0.33731</cdr:x>
      <cdr:y>0.31314</cdr:y>
    </cdr:from>
    <cdr:to>
      <cdr:x>0.37585</cdr:x>
      <cdr:y>0.50479</cdr:y>
    </cdr:to>
    <cdr:sp macro="" textlink="">
      <cdr:nvSpPr>
        <cdr:cNvPr id="17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200165" y="861262"/>
          <a:ext cx="137779" cy="519847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0.24079</cdr:x>
      <cdr:y>0.50479</cdr:y>
    </cdr:from>
    <cdr:to>
      <cdr:x>0.48451</cdr:x>
      <cdr:y>0.61373</cdr:y>
    </cdr:to>
    <cdr:sp macro="" textlink="">
      <cdr:nvSpPr>
        <cdr:cNvPr id="18" name="テキスト ボックス 17"/>
        <cdr:cNvSpPr txBox="1"/>
      </cdr:nvSpPr>
      <cdr:spPr>
        <a:xfrm xmlns:a="http://schemas.openxmlformats.org/drawingml/2006/main">
          <a:off x="857263" y="1381128"/>
          <a:ext cx="866761" cy="29527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1050"/>
            <a:t>伊香輪 </a:t>
          </a:r>
          <a:r>
            <a:rPr lang="en-US" altLang="ja-JP" sz="1050"/>
            <a:t>Kp</a:t>
          </a:r>
          <a:endParaRPr lang="ja-JP" altLang="en-US" sz="105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0.64086</cdr:x>
      <cdr:y>0.37544</cdr:y>
    </cdr:from>
    <cdr:to>
      <cdr:x>0.86308</cdr:x>
      <cdr:y>0.44623</cdr:y>
    </cdr:to>
    <cdr:sp macro="" textlink="">
      <cdr:nvSpPr>
        <cdr:cNvPr id="276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558" y="904517"/>
          <a:ext cx="749179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p= 0.01 MPa</a:t>
          </a:r>
        </a:p>
      </cdr:txBody>
    </cdr:sp>
  </cdr:relSizeAnchor>
  <cdr:relSizeAnchor xmlns:cdr="http://schemas.openxmlformats.org/drawingml/2006/chartDrawing">
    <cdr:from>
      <cdr:x>0.52406</cdr:x>
      <cdr:y>0.5408</cdr:y>
    </cdr:from>
    <cdr:to>
      <cdr:x>0.72513</cdr:x>
      <cdr:y>0.6116</cdr:y>
    </cdr:to>
    <cdr:sp macro="" textlink="">
      <cdr:nvSpPr>
        <cdr:cNvPr id="276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6801" y="1302925"/>
          <a:ext cx="677878" cy="1705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p= 0.1 MPa</a:t>
          </a:r>
        </a:p>
      </cdr:txBody>
    </cdr:sp>
  </cdr:relSizeAnchor>
  <cdr:relSizeAnchor xmlns:cdr="http://schemas.openxmlformats.org/drawingml/2006/chartDrawing">
    <cdr:from>
      <cdr:x>0.64086</cdr:x>
      <cdr:y>0.08743</cdr:y>
    </cdr:from>
    <cdr:to>
      <cdr:x>0.94119</cdr:x>
      <cdr:y>0.16621</cdr:y>
    </cdr:to>
    <cdr:sp macro="" textlink="">
      <cdr:nvSpPr>
        <cdr:cNvPr id="276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0558" y="210640"/>
          <a:ext cx="1012521" cy="1897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cdr:spPr>
      <cdr:txBody>
        <a:bodyPr xmlns:a="http://schemas.openxmlformats.org/drawingml/2006/main" wrap="none" lIns="18288" tIns="22860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O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Arial"/>
            </a:rPr>
            <a:t>→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ea typeface="ＭＳ Ｐゴシック"/>
              <a:cs typeface="Arial"/>
            </a:rPr>
            <a:t>H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Arial"/>
              <a:ea typeface="ＭＳ Ｐゴシック"/>
              <a:cs typeface="Arial"/>
            </a:rPr>
            <a:t>2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Arial"/>
              <a:ea typeface="ＭＳ Ｐゴシック"/>
              <a:cs typeface="Arial"/>
            </a:rPr>
            <a:t>+(1/2)O</a:t>
          </a:r>
          <a:r>
            <a:rPr lang="ja-JP" altLang="en-US" sz="1000" b="0" i="0" u="none" strike="noStrike" baseline="-25000">
              <a:solidFill>
                <a:srgbClr val="000000"/>
              </a:solidFill>
              <a:latin typeface="Arial"/>
              <a:ea typeface="ＭＳ Ｐゴシック"/>
              <a:cs typeface="Arial"/>
            </a:rPr>
            <a:t>2</a:t>
          </a:r>
          <a:endParaRPr lang="ja-JP" altLang="en-US" sz="1000" b="0" i="0" u="none" strike="noStrike" baseline="-25000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0.67175</cdr:x>
      <cdr:y>0.60633</cdr:y>
    </cdr:from>
    <cdr:to>
      <cdr:x>0.73453</cdr:x>
      <cdr:y>0.70713</cdr:y>
    </cdr:to>
    <cdr:sp macro="" textlink="">
      <cdr:nvSpPr>
        <cdr:cNvPr id="2765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83406" y="1431544"/>
          <a:ext cx="230157" cy="2377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0.75473</cdr:x>
      <cdr:y>0.45992</cdr:y>
    </cdr:from>
    <cdr:to>
      <cdr:x>0.81702</cdr:x>
      <cdr:y>0.56168</cdr:y>
    </cdr:to>
    <cdr:sp macro="" textlink="">
      <cdr:nvSpPr>
        <cdr:cNvPr id="2765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689420" y="1089216"/>
          <a:ext cx="227572" cy="23774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333955</xdr:colOff>
      <xdr:row>1</xdr:row>
      <xdr:rowOff>79513</xdr:rowOff>
    </xdr:from>
    <xdr:to>
      <xdr:col>10</xdr:col>
      <xdr:colOff>278296</xdr:colOff>
      <xdr:row>2</xdr:row>
      <xdr:rowOff>127221</xdr:rowOff>
    </xdr:to>
    <xdr:pic>
      <xdr:nvPicPr>
        <xdr:cNvPr id="214021" name="図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28306" y="254442"/>
          <a:ext cx="1979875" cy="222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302150</xdr:colOff>
      <xdr:row>9</xdr:row>
      <xdr:rowOff>166977</xdr:rowOff>
    </xdr:from>
    <xdr:to>
      <xdr:col>15</xdr:col>
      <xdr:colOff>477078</xdr:colOff>
      <xdr:row>28</xdr:row>
      <xdr:rowOff>111318</xdr:rowOff>
    </xdr:to>
    <xdr:graphicFrame macro="">
      <xdr:nvGraphicFramePr>
        <xdr:cNvPr id="21402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0.26889</cdr:x>
      <cdr:y>0.12628</cdr:y>
    </cdr:from>
    <cdr:to>
      <cdr:x>0.81101</cdr:x>
      <cdr:y>0.18935</cdr:y>
    </cdr:to>
    <cdr:pic>
      <cdr:nvPicPr>
        <cdr:cNvPr id="2" name="図 1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02170" y="423761"/>
          <a:ext cx="1895385" cy="214670"/>
        </a:xfrm>
        <a:prstGeom xmlns:a="http://schemas.openxmlformats.org/drawingml/2006/main" prst="rect">
          <a:avLst/>
        </a:prstGeom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0.19545</cdr:x>
      <cdr:y>0.69495</cdr:y>
    </cdr:from>
    <cdr:to>
      <cdr:x>0.28493</cdr:x>
      <cdr:y>0.75145</cdr:y>
    </cdr:to>
    <cdr:sp macro="" textlink="">
      <cdr:nvSpPr>
        <cdr:cNvPr id="337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5721" y="2222694"/>
          <a:ext cx="387157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773 K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0.19897</cdr:x>
      <cdr:y>0.56153</cdr:y>
    </cdr:from>
    <cdr:to>
      <cdr:x>0.28845</cdr:x>
      <cdr:y>0.61802</cdr:y>
    </cdr:to>
    <cdr:sp macro="" textlink="">
      <cdr:nvSpPr>
        <cdr:cNvPr id="3379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60961" y="1795949"/>
          <a:ext cx="387157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673 K</a:t>
          </a:r>
          <a:endParaRPr lang="ja-JP" altLang="en-US" sz="1100" b="0" i="0" u="none" strike="noStrike" baseline="0">
            <a:solidFill>
              <a:srgbClr val="000000"/>
            </a:solidFill>
            <a:latin typeface="Arial" panose="020B0604020202020204" pitchFamily="34" charset="0"/>
            <a:ea typeface="ＭＳ Ｐゴシック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0.1961</cdr:x>
      <cdr:y>0.12508</cdr:y>
    </cdr:from>
    <cdr:to>
      <cdr:x>0.28557</cdr:x>
      <cdr:y>0.18158</cdr:y>
    </cdr:to>
    <cdr:sp macro="" textlink="">
      <cdr:nvSpPr>
        <cdr:cNvPr id="33796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48515" y="400047"/>
          <a:ext cx="387157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473 K</a:t>
          </a:r>
        </a:p>
      </cdr:txBody>
    </cdr:sp>
  </cdr:relSizeAnchor>
  <cdr:relSizeAnchor xmlns:cdr="http://schemas.openxmlformats.org/drawingml/2006/chartDrawing">
    <cdr:from>
      <cdr:x>0.51179</cdr:x>
      <cdr:y>0.49856</cdr:y>
    </cdr:from>
    <cdr:to>
      <cdr:x>0.51179</cdr:x>
      <cdr:y>0.78082</cdr:y>
    </cdr:to>
    <cdr:sp macro="" textlink="">
      <cdr:nvSpPr>
        <cdr:cNvPr id="33797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214514" y="1594559"/>
          <a:ext cx="0" cy="9027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0.51355</cdr:x>
      <cdr:y>0.05845</cdr:y>
    </cdr:from>
    <cdr:to>
      <cdr:x>0.51355</cdr:x>
      <cdr:y>0.47117</cdr:y>
    </cdr:to>
    <cdr:sp macro="" textlink="">
      <cdr:nvSpPr>
        <cdr:cNvPr id="33798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222134" y="186942"/>
          <a:ext cx="0" cy="132001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arrow" w="med" len="med"/>
          <a:tailEnd type="arrow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0.52718</cdr:x>
      <cdr:y>0.6738</cdr:y>
    </cdr:from>
    <cdr:to>
      <cdr:x>0.64098</cdr:x>
      <cdr:y>0.7791</cdr:y>
    </cdr:to>
    <cdr:sp macro="" textlink="">
      <cdr:nvSpPr>
        <cdr:cNvPr id="33799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1088" y="2155019"/>
          <a:ext cx="492413" cy="336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NH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</a:p>
      </cdr:txBody>
    </cdr:sp>
  </cdr:relSizeAnchor>
  <cdr:relSizeAnchor xmlns:cdr="http://schemas.openxmlformats.org/drawingml/2006/chartDrawing">
    <cdr:from>
      <cdr:x>0.5294</cdr:x>
      <cdr:y>0.22229</cdr:y>
    </cdr:from>
    <cdr:to>
      <cdr:x>0.65136</cdr:x>
      <cdr:y>0.30319</cdr:y>
    </cdr:to>
    <cdr:sp macro="" textlink="">
      <cdr:nvSpPr>
        <cdr:cNvPr id="33800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3255" y="656330"/>
          <a:ext cx="569776" cy="2388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N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+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H</a:t>
          </a:r>
          <a:r>
            <a:rPr lang="ja-JP" altLang="en-US" sz="1100" b="0" i="0" u="none" strike="noStrike" baseline="-2500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2</a:t>
          </a:r>
        </a:p>
      </cdr:txBody>
    </cdr:sp>
  </cdr:relSizeAnchor>
  <cdr:relSizeAnchor xmlns:cdr="http://schemas.openxmlformats.org/drawingml/2006/chartDrawing">
    <cdr:from>
      <cdr:x>0.80365</cdr:x>
      <cdr:y>0.42766</cdr:y>
    </cdr:from>
    <cdr:to>
      <cdr:x>0.96302</cdr:x>
      <cdr:y>0.48415</cdr:y>
    </cdr:to>
    <cdr:sp macro="" textlink="">
      <cdr:nvSpPr>
        <cdr:cNvPr id="9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77415" y="1367786"/>
          <a:ext cx="689565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Excel</a:t>
          </a:r>
        </a:p>
      </cdr:txBody>
    </cdr:sp>
  </cdr:relSizeAnchor>
  <cdr:relSizeAnchor xmlns:cdr="http://schemas.openxmlformats.org/drawingml/2006/chartDrawing">
    <cdr:from>
      <cdr:x>0.64692</cdr:x>
      <cdr:y>0.67305</cdr:y>
    </cdr:from>
    <cdr:to>
      <cdr:x>0.99648</cdr:x>
      <cdr:y>0.72955</cdr:y>
    </cdr:to>
    <cdr:sp macro="" textlink="">
      <cdr:nvSpPr>
        <cdr:cNvPr id="1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99235" y="2152646"/>
          <a:ext cx="1512525" cy="1806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Arial" panose="020B0604020202020204" pitchFamily="34" charset="0"/>
              <a:ea typeface="ＭＳ Ｐゴシック"/>
              <a:cs typeface="Arial" panose="020B0604020202020204" pitchFamily="34" charset="0"/>
            </a:rPr>
            <a:t>COCO:Gibbs reactor</a:t>
          </a:r>
        </a:p>
      </cdr:txBody>
    </cdr:sp>
  </cdr:relSizeAnchor>
  <cdr:relSizeAnchor xmlns:cdr="http://schemas.openxmlformats.org/drawingml/2006/chartDrawing">
    <cdr:from>
      <cdr:x>0.71439</cdr:x>
      <cdr:y>0.57815</cdr:y>
    </cdr:from>
    <cdr:to>
      <cdr:x>0.74961</cdr:x>
      <cdr:y>0.66869</cdr:y>
    </cdr:to>
    <cdr:cxnSp macro="">
      <cdr:nvCxnSpPr>
        <cdr:cNvPr id="11" name="直線コネクタ 10"/>
        <cdr:cNvCxnSpPr/>
      </cdr:nvCxnSpPr>
      <cdr:spPr>
        <a:xfrm xmlns:a="http://schemas.openxmlformats.org/drawingml/2006/main">
          <a:off x="3091180" y="1849120"/>
          <a:ext cx="152400" cy="289560"/>
        </a:xfrm>
        <a:prstGeom xmlns:a="http://schemas.openxmlformats.org/drawingml/2006/main" prst="line">
          <a:avLst/>
        </a:prstGeom>
        <a:ln xmlns:a="http://schemas.openxmlformats.org/drawingml/2006/main" w="25400" cap="sq">
          <a:solidFill>
            <a:schemeClr val="tx1"/>
          </a:solidFill>
          <a:prstDash val="sysDot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0.76899</cdr:x>
      <cdr:y>0.48062</cdr:y>
    </cdr:from>
    <cdr:to>
      <cdr:x>0.8239</cdr:x>
      <cdr:y>0.57577</cdr:y>
    </cdr:to>
    <cdr:cxnSp macro="">
      <cdr:nvCxnSpPr>
        <cdr:cNvPr id="12" name="直線コネクタ 11"/>
        <cdr:cNvCxnSpPr/>
      </cdr:nvCxnSpPr>
      <cdr:spPr>
        <a:xfrm xmlns:a="http://schemas.openxmlformats.org/drawingml/2006/main" flipV="1">
          <a:off x="3327400" y="1537170"/>
          <a:ext cx="237600" cy="304330"/>
        </a:xfrm>
        <a:prstGeom xmlns:a="http://schemas.openxmlformats.org/drawingml/2006/main" prst="line">
          <a:avLst/>
        </a:prstGeom>
        <a:ln xmlns:a="http://schemas.openxmlformats.org/drawingml/2006/main" w="6350" cap="sq">
          <a:solidFill>
            <a:schemeClr val="tx1"/>
          </a:solidFill>
          <a:prstDash val="solid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0.62774</cdr:x>
      <cdr:y>0.5152</cdr:y>
    </cdr:from>
    <cdr:to>
      <cdr:x>0.82723</cdr:x>
      <cdr:y>0.57473</cdr:y>
    </cdr:to>
    <cdr:sp macro="" textlink="">
      <cdr:nvSpPr>
        <cdr:cNvPr id="819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66257" y="1458349"/>
          <a:ext cx="688394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ΔH＜0　発熱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0.64621</cdr:x>
      <cdr:y>0.15937</cdr:y>
    </cdr:from>
    <cdr:to>
      <cdr:x>0.84569</cdr:x>
      <cdr:y>0.2189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29982" y="451111"/>
          <a:ext cx="688394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ΔH＜0　発熱</a:t>
          </a:r>
        </a:p>
      </cdr:txBody>
    </cdr:sp>
  </cdr:relSizeAnchor>
  <cdr:relSizeAnchor xmlns:cdr="http://schemas.openxmlformats.org/drawingml/2006/chartDrawing">
    <cdr:from>
      <cdr:x>0.71619</cdr:x>
      <cdr:y>0.47767</cdr:y>
    </cdr:from>
    <cdr:to>
      <cdr:x>0.89967</cdr:x>
      <cdr:y>0.54309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1461" y="1352123"/>
          <a:ext cx="63318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r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^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一定</a:t>
          </a:r>
        </a:p>
      </cdr:txBody>
    </cdr:sp>
  </cdr:relSizeAnchor>
  <cdr:relSizeAnchor xmlns:cdr="http://schemas.openxmlformats.org/drawingml/2006/chartDrawing">
    <cdr:from>
      <cdr:x>0.73945</cdr:x>
      <cdr:y>0.55519</cdr:y>
    </cdr:from>
    <cdr:to>
      <cdr:x>0.79615</cdr:x>
      <cdr:y>0.63222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32478" y="1518675"/>
          <a:ext cx="201985" cy="2095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0.57729</cdr:x>
      <cdr:y>0.06193</cdr:y>
    </cdr:from>
    <cdr:to>
      <cdr:x>0.91513</cdr:x>
      <cdr:y>0.15042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7400" y="180975"/>
          <a:ext cx="1200000" cy="2380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0.58497</cdr:x>
      <cdr:y>0.15474</cdr:y>
    </cdr:from>
    <cdr:to>
      <cdr:x>0.90054</cdr:x>
      <cdr:y>0.21411</cdr:y>
    </cdr:to>
    <cdr:sp macro="" textlink="">
      <cdr:nvSpPr>
        <cdr:cNvPr id="133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2622" y="439255"/>
          <a:ext cx="1096519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</a:t>
          </a:r>
          <a:r>
            <a:rPr lang="en-US" altLang="ja-JP" sz="9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r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H＜0　（発熱反応）</a:t>
          </a:r>
        </a:p>
      </cdr:txBody>
    </cdr:sp>
  </cdr:relSizeAnchor>
  <cdr:relSizeAnchor xmlns:cdr="http://schemas.openxmlformats.org/drawingml/2006/chartDrawing">
    <cdr:from>
      <cdr:x>0.71353</cdr:x>
      <cdr:y>0.47623</cdr:y>
    </cdr:from>
    <cdr:to>
      <cdr:x>0.89575</cdr:x>
      <cdr:y>0.54147</cdr:y>
    </cdr:to>
    <cdr:sp macro="" textlink="">
      <cdr:nvSpPr>
        <cdr:cNvPr id="133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9305" y="1351833"/>
          <a:ext cx="633187" cy="1851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</a:t>
          </a:r>
          <a:r>
            <a:rPr lang="en-US" altLang="ja-JP" sz="1000" b="0" i="0" u="none" strike="noStrike" baseline="-25000">
              <a:solidFill>
                <a:srgbClr val="000000"/>
              </a:solidFill>
              <a:latin typeface="ＭＳ Ｐゴシック"/>
              <a:ea typeface="ＭＳ Ｐゴシック"/>
            </a:rPr>
            <a:t>r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H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^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一定</a:t>
          </a:r>
        </a:p>
      </cdr:txBody>
    </cdr:sp>
  </cdr:relSizeAnchor>
  <cdr:relSizeAnchor xmlns:cdr="http://schemas.openxmlformats.org/drawingml/2006/chartDrawing">
    <cdr:from>
      <cdr:x>0.73752</cdr:x>
      <cdr:y>0.55351</cdr:y>
    </cdr:from>
    <cdr:to>
      <cdr:x>0.79349</cdr:x>
      <cdr:y>0.6303</cdr:y>
    </cdr:to>
    <cdr:sp macro="" textlink="">
      <cdr:nvSpPr>
        <cdr:cNvPr id="13315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2632478" y="1518675"/>
          <a:ext cx="201985" cy="20954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0.57487</cdr:x>
      <cdr:y>0.06169</cdr:y>
    </cdr:from>
    <cdr:to>
      <cdr:x>0.91343</cdr:x>
      <cdr:y>0.14922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057400" y="180975"/>
          <a:ext cx="1200000" cy="238095"/>
        </a:xfrm>
        <a:prstGeom xmlns:a="http://schemas.openxmlformats.org/drawingml/2006/main" prst="rect">
          <a:avLst/>
        </a:prstGeom>
      </cdr:spPr>
    </cdr:pic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0.57487</cdr:x>
      <cdr:y>0.06169</cdr:y>
    </cdr:from>
    <cdr:to>
      <cdr:x>0.85397</cdr:x>
      <cdr:y>0.13385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2128433" y="169131"/>
          <a:ext cx="1033352" cy="197828"/>
        </a:xfrm>
        <a:prstGeom xmlns:a="http://schemas.openxmlformats.org/drawingml/2006/main" prst="rect">
          <a:avLst/>
        </a:prstGeom>
      </cdr:spPr>
    </cdr:pic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419100</xdr:colOff>
      <xdr:row>0</xdr:row>
      <xdr:rowOff>11430</xdr:rowOff>
    </xdr:from>
    <xdr:to>
      <xdr:col>13</xdr:col>
      <xdr:colOff>125730</xdr:colOff>
      <xdr:row>16</xdr:row>
      <xdr:rowOff>97155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514350</xdr:colOff>
      <xdr:row>45</xdr:row>
      <xdr:rowOff>133350</xdr:rowOff>
    </xdr:from>
    <xdr:to>
      <xdr:col>2</xdr:col>
      <xdr:colOff>590550</xdr:colOff>
      <xdr:row>46</xdr:row>
      <xdr:rowOff>133350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3419475" y="7905750"/>
          <a:ext cx="7620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325755</xdr:colOff>
      <xdr:row>14</xdr:row>
      <xdr:rowOff>43815</xdr:rowOff>
    </xdr:from>
    <xdr:to>
      <xdr:col>13</xdr:col>
      <xdr:colOff>40005</xdr:colOff>
      <xdr:row>27</xdr:row>
      <xdr:rowOff>139065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14</xdr:row>
      <xdr:rowOff>0</xdr:rowOff>
    </xdr:from>
    <xdr:to>
      <xdr:col>20</xdr:col>
      <xdr:colOff>323850</xdr:colOff>
      <xdr:row>30</xdr:row>
      <xdr:rowOff>66675</xdr:rowOff>
    </xdr:to>
    <xdr:graphicFrame macro="">
      <xdr:nvGraphicFramePr>
        <xdr:cNvPr id="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548640</xdr:colOff>
      <xdr:row>29</xdr:row>
      <xdr:rowOff>114300</xdr:rowOff>
    </xdr:from>
    <xdr:to>
      <xdr:col>12</xdr:col>
      <xdr:colOff>335280</xdr:colOff>
      <xdr:row>45</xdr:row>
      <xdr:rowOff>152400</xdr:rowOff>
    </xdr:to>
    <xdr:graphicFrame macro="">
      <xdr:nvGraphicFramePr>
        <xdr:cNvPr id="6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0.44719</cdr:x>
      <cdr:y>0.49058</cdr:y>
    </cdr:from>
    <cdr:to>
      <cdr:x>0.64252</cdr:x>
      <cdr:y>0.54975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5992" y="1397168"/>
          <a:ext cx="688394" cy="16850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none" lIns="18288" tIns="18288" rIns="0" bIns="0" anchor="t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ΔH＞0　吸熱</a:t>
          </a:r>
        </a:p>
      </cdr:txBody>
    </cdr:sp>
  </cdr:relSizeAnchor>
  <cdr:relSizeAnchor xmlns:cdr="http://schemas.openxmlformats.org/drawingml/2006/chartDrawing">
    <cdr:from>
      <cdr:x>0.30068</cdr:x>
      <cdr:y>0.06761</cdr:y>
    </cdr:from>
    <cdr:to>
      <cdr:x>0.74683</cdr:x>
      <cdr:y>0.14811</cdr:y>
    </cdr:to>
    <cdr:pic>
      <cdr:nvPicPr>
        <cdr:cNvPr id="2" name="chart"/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>
          <a:off x="1047750" y="190500"/>
          <a:ext cx="1571429" cy="228571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wmf"/><Relationship Id="rId18" Type="http://schemas.openxmlformats.org/officeDocument/2006/relationships/oleObject" Target="../embeddings/oleObject8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wmf"/><Relationship Id="rId12" Type="http://schemas.openxmlformats.org/officeDocument/2006/relationships/oleObject" Target="../embeddings/oleObject5.bin"/><Relationship Id="rId17" Type="http://schemas.openxmlformats.org/officeDocument/2006/relationships/image" Target="../media/image7.wmf"/><Relationship Id="rId2" Type="http://schemas.openxmlformats.org/officeDocument/2006/relationships/drawing" Target="../drawings/drawing1.xml"/><Relationship Id="rId16" Type="http://schemas.openxmlformats.org/officeDocument/2006/relationships/oleObject" Target="../embeddings/oleObject7.bin"/><Relationship Id="rId20" Type="http://schemas.openxmlformats.org/officeDocument/2006/relationships/comments" Target="../comments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wmf"/><Relationship Id="rId5" Type="http://schemas.openxmlformats.org/officeDocument/2006/relationships/image" Target="../media/image1.wmf"/><Relationship Id="rId15" Type="http://schemas.openxmlformats.org/officeDocument/2006/relationships/image" Target="../media/image6.wmf"/><Relationship Id="rId10" Type="http://schemas.openxmlformats.org/officeDocument/2006/relationships/oleObject" Target="../embeddings/oleObject4.bin"/><Relationship Id="rId19" Type="http://schemas.openxmlformats.org/officeDocument/2006/relationships/image" Target="../media/image8.w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wmf"/><Relationship Id="rId14" Type="http://schemas.openxmlformats.org/officeDocument/2006/relationships/oleObject" Target="../embeddings/oleObject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omtecquest.com/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7" Type="http://schemas.openxmlformats.org/officeDocument/2006/relationships/comments" Target="../comments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ir.sxicc.ac.cn/bitstream/0/143/1/3801%E2%80%933805.pdf" TargetMode="External"/><Relationship Id="rId6" Type="http://schemas.openxmlformats.org/officeDocument/2006/relationships/image" Target="../media/image1.wmf"/><Relationship Id="rId5" Type="http://schemas.openxmlformats.org/officeDocument/2006/relationships/oleObject" Target="../embeddings/oleObject9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112"/>
  <sheetViews>
    <sheetView zoomScale="96" zoomScaleNormal="96" workbookViewId="0">
      <selection activeCell="F35" sqref="F35"/>
    </sheetView>
  </sheetViews>
  <sheetFormatPr defaultColWidth="9.28515625" defaultRowHeight="13.2" x14ac:dyDescent="0.15"/>
  <cols>
    <col min="1" max="1" width="24.85546875" style="1" customWidth="1"/>
    <col min="2" max="2" width="12.42578125" style="1" customWidth="1"/>
    <col min="3" max="4" width="12" style="1" customWidth="1"/>
    <col min="5" max="6" width="10.85546875" style="1" customWidth="1"/>
    <col min="7" max="7" width="13.42578125" style="1" customWidth="1"/>
    <col min="8" max="8" width="14.140625" style="1" customWidth="1"/>
    <col min="9" max="9" width="15.140625" style="1" customWidth="1"/>
    <col min="10" max="10" width="10.7109375" style="1" customWidth="1"/>
    <col min="11" max="11" width="13.7109375" style="1" customWidth="1"/>
    <col min="12" max="12" width="13" style="1" bestFit="1" customWidth="1"/>
    <col min="13" max="13" width="21.28515625" style="1" customWidth="1"/>
    <col min="14" max="14" width="12.28515625" style="1" customWidth="1"/>
    <col min="15" max="15" width="9.28515625" style="1"/>
    <col min="16" max="16" width="10" style="1" bestFit="1" customWidth="1"/>
    <col min="17" max="17" width="12" style="1" bestFit="1" customWidth="1"/>
    <col min="18" max="18" width="9.28515625" style="1"/>
    <col min="19" max="19" width="20.85546875" style="1" customWidth="1"/>
    <col min="20" max="22" width="11.42578125" style="1" bestFit="1" customWidth="1"/>
    <col min="23" max="23" width="14" style="1" customWidth="1"/>
    <col min="24" max="24" width="10.85546875" style="1" customWidth="1"/>
    <col min="25" max="28" width="9.28515625" style="1"/>
    <col min="29" max="29" width="17.42578125" style="1" bestFit="1" customWidth="1"/>
    <col min="30" max="16384" width="9.28515625" style="1"/>
  </cols>
  <sheetData>
    <row r="1" spans="1:30" x14ac:dyDescent="0.15">
      <c r="A1" s="1" t="s">
        <v>14</v>
      </c>
      <c r="C1" s="1" t="s">
        <v>16</v>
      </c>
      <c r="D1" s="1" t="s">
        <v>17</v>
      </c>
      <c r="E1" s="1" t="s">
        <v>18</v>
      </c>
      <c r="F1" s="1" t="s">
        <v>19</v>
      </c>
      <c r="J1" s="1" t="s">
        <v>20</v>
      </c>
      <c r="K1" s="1" t="s">
        <v>21</v>
      </c>
      <c r="L1" s="1" t="s">
        <v>41</v>
      </c>
      <c r="M1" s="1" t="s">
        <v>42</v>
      </c>
      <c r="N1" s="1" t="s">
        <v>113</v>
      </c>
      <c r="O1" s="1" t="s">
        <v>229</v>
      </c>
      <c r="AB1" s="1" t="s">
        <v>215</v>
      </c>
      <c r="AC1" s="1">
        <v>8.3140000000000001</v>
      </c>
      <c r="AD1" s="1" t="s">
        <v>216</v>
      </c>
    </row>
    <row r="2" spans="1:30" x14ac:dyDescent="0.15">
      <c r="A2" s="1" t="s">
        <v>0</v>
      </c>
      <c r="D2" s="1">
        <v>-1</v>
      </c>
      <c r="E2" s="1">
        <v>-3</v>
      </c>
      <c r="F2" s="1">
        <v>2</v>
      </c>
      <c r="J2" s="1">
        <v>300</v>
      </c>
      <c r="K2" s="1">
        <v>472584</v>
      </c>
      <c r="L2" s="1">
        <f>1/J2</f>
        <v>3.3333333333333335E-3</v>
      </c>
      <c r="M2" s="1">
        <f>LN(K2)</f>
        <v>13.065970787893116</v>
      </c>
      <c r="N2" s="14">
        <f>LOG(K2)</f>
        <v>5.6744790138910641</v>
      </c>
      <c r="O2" s="27">
        <f xml:space="preserve"> -0.00000003976*J2^3 + 0.0001028*J2^2 - 0.09564*J2 + 26.11</f>
        <v>5.5964799999999997</v>
      </c>
      <c r="AB2" s="1" t="s">
        <v>217</v>
      </c>
      <c r="AC2" s="1">
        <v>600</v>
      </c>
      <c r="AD2" s="1" t="s">
        <v>218</v>
      </c>
    </row>
    <row r="3" spans="1:30" ht="13.8" thickBot="1" x14ac:dyDescent="0.2">
      <c r="A3" s="1" t="s">
        <v>73</v>
      </c>
      <c r="B3" s="1" t="s">
        <v>2</v>
      </c>
      <c r="C3" s="1">
        <v>298.14999999999998</v>
      </c>
      <c r="D3" s="1">
        <f>C3</f>
        <v>298.14999999999998</v>
      </c>
      <c r="E3" s="1">
        <f t="shared" ref="E3:F3" si="0">D3</f>
        <v>298.14999999999998</v>
      </c>
      <c r="F3" s="1">
        <f t="shared" si="0"/>
        <v>298.14999999999998</v>
      </c>
      <c r="G3" s="18" t="s">
        <v>135</v>
      </c>
      <c r="H3" s="18"/>
      <c r="I3" s="18"/>
      <c r="J3" s="1">
        <v>400</v>
      </c>
      <c r="K3" s="1">
        <v>37.49</v>
      </c>
      <c r="L3" s="1">
        <f t="shared" ref="L3:L9" si="1">1/J3</f>
        <v>2.5000000000000001E-3</v>
      </c>
      <c r="M3" s="1">
        <f t="shared" ref="M3:M9" si="2">LN(K3)</f>
        <v>3.6240742307478206</v>
      </c>
      <c r="N3" s="14">
        <f t="shared" ref="N3:N9" si="3">LOG(K3)</f>
        <v>1.5739154404215507</v>
      </c>
      <c r="O3" s="27">
        <f t="shared" ref="O3:O9" si="4" xml:space="preserve"> -0.00000003976*J3^3 + 0.0001028*J3^2 - 0.09564*J3 + 26.11</f>
        <v>1.7573599999999985</v>
      </c>
      <c r="AB3" s="1" t="s">
        <v>219</v>
      </c>
      <c r="AC3" s="23">
        <v>101300</v>
      </c>
      <c r="AD3" s="1" t="s">
        <v>220</v>
      </c>
    </row>
    <row r="4" spans="1:30" ht="13.8" thickBot="1" x14ac:dyDescent="0.2">
      <c r="A4" s="1" t="s">
        <v>3</v>
      </c>
      <c r="B4" s="1" t="s">
        <v>2</v>
      </c>
      <c r="C4" s="5">
        <v>773.15</v>
      </c>
      <c r="D4" s="1">
        <f>C4</f>
        <v>773.15</v>
      </c>
      <c r="E4" s="1">
        <f t="shared" ref="E4:F4" si="5">D4</f>
        <v>773.15</v>
      </c>
      <c r="F4" s="1">
        <f t="shared" si="5"/>
        <v>773.15</v>
      </c>
      <c r="G4" s="18" t="s">
        <v>17</v>
      </c>
      <c r="H4" s="18" t="s">
        <v>18</v>
      </c>
      <c r="I4" s="18" t="s">
        <v>19</v>
      </c>
      <c r="J4" s="1">
        <v>500</v>
      </c>
      <c r="K4" s="1">
        <v>0.1027</v>
      </c>
      <c r="L4" s="1">
        <f t="shared" si="1"/>
        <v>2E-3</v>
      </c>
      <c r="M4" s="1">
        <f t="shared" si="2"/>
        <v>-2.2759431620476245</v>
      </c>
      <c r="N4" s="14">
        <f t="shared" si="3"/>
        <v>-0.98842955640272179</v>
      </c>
      <c r="O4" s="27">
        <f t="shared" si="4"/>
        <v>-0.97999999999999687</v>
      </c>
      <c r="AB4" s="7" t="s">
        <v>221</v>
      </c>
    </row>
    <row r="5" spans="1:30" x14ac:dyDescent="0.15">
      <c r="A5" s="1" t="s">
        <v>47</v>
      </c>
      <c r="B5" s="1" t="s">
        <v>4</v>
      </c>
      <c r="C5" s="1">
        <f>F2*F5+E2*E5+D2*D5</f>
        <v>-92.22</v>
      </c>
      <c r="D5" s="1">
        <v>0</v>
      </c>
      <c r="E5" s="1">
        <v>0</v>
      </c>
      <c r="F5" s="1">
        <v>-46.11</v>
      </c>
      <c r="G5" s="18">
        <v>0</v>
      </c>
      <c r="H5" s="18">
        <v>0</v>
      </c>
      <c r="I5" s="18">
        <v>-45.96</v>
      </c>
      <c r="J5" s="1">
        <v>600</v>
      </c>
      <c r="K5" s="1">
        <v>1.6999999999999999E-3</v>
      </c>
      <c r="L5" s="1">
        <f t="shared" si="1"/>
        <v>1.6666666666666668E-3</v>
      </c>
      <c r="M5" s="1">
        <f t="shared" si="2"/>
        <v>-6.3771270279199666</v>
      </c>
      <c r="N5" s="14">
        <f t="shared" si="3"/>
        <v>-2.7695510786217259</v>
      </c>
      <c r="O5" s="27">
        <f t="shared" si="4"/>
        <v>-2.8541600000000003</v>
      </c>
      <c r="AB5" s="1" t="s">
        <v>222</v>
      </c>
      <c r="AC5" s="1">
        <f>(AC1*AC2/AC3)^(-2)</f>
        <v>412.37881812836503</v>
      </c>
      <c r="AD5" s="1" t="s">
        <v>227</v>
      </c>
    </row>
    <row r="6" spans="1:30" x14ac:dyDescent="0.15">
      <c r="A6" s="1" t="s">
        <v>48</v>
      </c>
      <c r="B6" s="1" t="s">
        <v>5</v>
      </c>
      <c r="C6" s="1">
        <f>F2*F6+E2*E6+D2*D6</f>
        <v>-198.76200000000006</v>
      </c>
      <c r="D6" s="1">
        <v>191.61</v>
      </c>
      <c r="E6" s="1">
        <v>130.684</v>
      </c>
      <c r="F6" s="1">
        <v>192.45</v>
      </c>
      <c r="G6" s="18">
        <v>191.5</v>
      </c>
      <c r="H6" s="18">
        <v>130.5</v>
      </c>
      <c r="I6" s="18">
        <v>192.5</v>
      </c>
      <c r="J6" s="1">
        <v>700</v>
      </c>
      <c r="K6" s="4">
        <v>8.8999999999999995E-5</v>
      </c>
      <c r="L6" s="1">
        <f t="shared" si="1"/>
        <v>1.4285714285714286E-3</v>
      </c>
      <c r="M6" s="1">
        <f t="shared" si="2"/>
        <v>-9.326874188232134</v>
      </c>
      <c r="N6" s="14">
        <f t="shared" si="3"/>
        <v>-4.0506099933550876</v>
      </c>
      <c r="O6" s="27">
        <f t="shared" si="4"/>
        <v>-4.1036800000000113</v>
      </c>
      <c r="AB6" s="1" t="s">
        <v>224</v>
      </c>
      <c r="AC6" s="24">
        <f>10^(-0.00000003976*AC2^3+0.0001028*AC2^2-0.09564*AC2+26.11)</f>
        <v>1.399071790518113E-3</v>
      </c>
      <c r="AD6" s="1" t="s">
        <v>225</v>
      </c>
    </row>
    <row r="7" spans="1:30" x14ac:dyDescent="0.15">
      <c r="A7" s="1" t="s">
        <v>46</v>
      </c>
      <c r="B7" s="1" t="s">
        <v>6</v>
      </c>
      <c r="C7" s="1">
        <f>D7*D$2+E7*E$2+F7*F$2</f>
        <v>-61.089999999999989</v>
      </c>
      <c r="D7" s="1">
        <v>28.9</v>
      </c>
      <c r="E7" s="1">
        <v>29.11</v>
      </c>
      <c r="F7" s="1">
        <v>27.57</v>
      </c>
      <c r="G7" s="18"/>
      <c r="H7" s="18"/>
      <c r="I7" s="18"/>
      <c r="J7" s="1">
        <v>800</v>
      </c>
      <c r="K7" s="4">
        <v>9.0350000000000007E-6</v>
      </c>
      <c r="L7" s="1">
        <f t="shared" si="1"/>
        <v>1.25E-3</v>
      </c>
      <c r="M7" s="1">
        <f t="shared" si="2"/>
        <v>-11.614404633920083</v>
      </c>
      <c r="N7" s="14">
        <f t="shared" si="3"/>
        <v>-5.0440718431030493</v>
      </c>
      <c r="O7" s="27">
        <f t="shared" si="4"/>
        <v>-4.9671199999999942</v>
      </c>
      <c r="AB7" s="1" t="s">
        <v>226</v>
      </c>
      <c r="AC7" s="4">
        <f>AC6/AC5</f>
        <v>3.392685872829217E-6</v>
      </c>
      <c r="AD7" s="1" t="s">
        <v>223</v>
      </c>
    </row>
    <row r="8" spans="1:30" x14ac:dyDescent="0.15">
      <c r="A8" s="1" t="s">
        <v>7</v>
      </c>
      <c r="B8" s="1" t="s">
        <v>8</v>
      </c>
      <c r="C8" s="15">
        <f>D8*D$2+E8*E$2+F8*F$2</f>
        <v>5.8530000000000006E-2</v>
      </c>
      <c r="D8" s="16">
        <v>-1.57E-3</v>
      </c>
      <c r="E8" s="16">
        <v>-1.92E-3</v>
      </c>
      <c r="F8" s="16">
        <v>2.5600000000000001E-2</v>
      </c>
      <c r="G8" s="18"/>
      <c r="H8" s="18"/>
      <c r="I8" s="18"/>
      <c r="J8" s="1">
        <v>900</v>
      </c>
      <c r="K8" s="4">
        <v>1.477E-6</v>
      </c>
      <c r="L8" s="1">
        <f t="shared" si="1"/>
        <v>1.1111111111111111E-3</v>
      </c>
      <c r="M8" s="1">
        <f t="shared" si="2"/>
        <v>-13.425497554415031</v>
      </c>
      <c r="N8" s="14">
        <f t="shared" si="3"/>
        <v>-5.8306195046880509</v>
      </c>
      <c r="O8" s="27">
        <f t="shared" si="4"/>
        <v>-5.6830400000000054</v>
      </c>
    </row>
    <row r="9" spans="1:30" x14ac:dyDescent="0.15">
      <c r="B9" s="1" t="s">
        <v>9</v>
      </c>
      <c r="C9" s="15">
        <f>D9*D$2+E9*E$2+F9*F$2</f>
        <v>-2.600000000000009E-7</v>
      </c>
      <c r="D9" s="16">
        <v>8.0800000000000006E-6</v>
      </c>
      <c r="E9" s="16">
        <v>3.9999999999999998E-6</v>
      </c>
      <c r="F9" s="16">
        <v>9.91E-6</v>
      </c>
      <c r="G9" s="18"/>
      <c r="H9" s="18"/>
      <c r="I9" s="18"/>
      <c r="J9" s="1">
        <v>1000</v>
      </c>
      <c r="K9" s="4">
        <v>3.3999999999999997E-7</v>
      </c>
      <c r="L9" s="1">
        <f t="shared" si="1"/>
        <v>1E-3</v>
      </c>
      <c r="M9" s="1">
        <f t="shared" si="2"/>
        <v>-14.894320219336205</v>
      </c>
      <c r="N9" s="14">
        <f t="shared" si="3"/>
        <v>-6.4685210829577446</v>
      </c>
      <c r="O9" s="27">
        <f t="shared" si="4"/>
        <v>-6.4899999999999878</v>
      </c>
    </row>
    <row r="10" spans="1:30" x14ac:dyDescent="0.15">
      <c r="B10" s="1" t="s">
        <v>10</v>
      </c>
      <c r="C10" s="15">
        <f>D10*D$2+E10*E$2+F10*F$2</f>
        <v>-7.8999999999999996E-9</v>
      </c>
      <c r="D10" s="16">
        <v>-2.8699999999999998E-9</v>
      </c>
      <c r="E10" s="16">
        <v>-8.6999999999999999E-10</v>
      </c>
      <c r="F10" s="16">
        <v>-6.6899999999999999E-9</v>
      </c>
      <c r="G10" s="18"/>
      <c r="H10" s="18"/>
      <c r="I10" s="18"/>
    </row>
    <row r="11" spans="1:30" x14ac:dyDescent="0.15">
      <c r="B11" s="1" t="s">
        <v>11</v>
      </c>
      <c r="C11" s="17">
        <f>C7*(C4-C3)+(C8/2)*(C4^2-C3^2)+(C9/3)*(C4^3-C3^3)+(C10/4)*(C4^4-C3^4)</f>
        <v>-14853.596161531381</v>
      </c>
      <c r="D11" s="17">
        <f t="shared" ref="D11:F11" si="6">D7*(D4-D3)+(D8/2)*(D4^2-D3^2)+(D9/3)*(D4^3-D3^3)+(D10/4)*(D4^4-D3^4)</f>
        <v>14250.697871557006</v>
      </c>
      <c r="E11" s="17">
        <f t="shared" si="6"/>
        <v>13843.61291370415</v>
      </c>
      <c r="F11" s="17">
        <f t="shared" si="6"/>
        <v>20463.970225569039</v>
      </c>
      <c r="G11" s="18"/>
      <c r="H11" s="18"/>
      <c r="I11" s="18"/>
      <c r="N11" s="26"/>
    </row>
    <row r="12" spans="1:30" x14ac:dyDescent="0.15">
      <c r="B12" s="1" t="s">
        <v>12</v>
      </c>
      <c r="C12" s="14">
        <f>C7*LN(C4/C3)+C8*(C4-C3)+(C9/2)*(C4^2-C3^2)+(C10/3)*(C4^3-C3^3)</f>
        <v>-31.62284539158308</v>
      </c>
      <c r="D12" s="14">
        <f t="shared" ref="D12:F12" si="7">D7*LN(D4/D3)+D8*(D4-D3)+(D9/2)*(D4^2-D3^2)+(D10/3)*(D4^3-D3^3)</f>
        <v>28.431424713179887</v>
      </c>
      <c r="E12" s="14">
        <f t="shared" si="7"/>
        <v>27.717625905025546</v>
      </c>
      <c r="F12" s="14">
        <f t="shared" si="7"/>
        <v>39.980728518336718</v>
      </c>
      <c r="G12" s="18"/>
      <c r="H12" s="18"/>
      <c r="I12" s="18"/>
    </row>
    <row r="13" spans="1:30" x14ac:dyDescent="0.15">
      <c r="A13" s="1" t="s">
        <v>49</v>
      </c>
      <c r="B13" s="1" t="s">
        <v>4</v>
      </c>
      <c r="C13" s="14">
        <f>C5+C11/1000</f>
        <v>-107.07359616153138</v>
      </c>
      <c r="D13" s="19">
        <f>D5+D11/1000</f>
        <v>14.250697871557005</v>
      </c>
      <c r="E13" s="19">
        <f t="shared" ref="E13:F13" si="8">E5+E11/1000</f>
        <v>13.843612913704149</v>
      </c>
      <c r="F13" s="19">
        <f t="shared" si="8"/>
        <v>-25.646029774430961</v>
      </c>
      <c r="G13" s="18">
        <v>14.2</v>
      </c>
      <c r="H13" s="18">
        <v>13.9</v>
      </c>
      <c r="I13" s="18">
        <v>-25.45</v>
      </c>
    </row>
    <row r="14" spans="1:30" x14ac:dyDescent="0.15">
      <c r="A14" s="1" t="s">
        <v>134</v>
      </c>
      <c r="B14" s="1" t="s">
        <v>5</v>
      </c>
      <c r="C14" s="13">
        <f>C6+C12</f>
        <v>-230.38484539158313</v>
      </c>
      <c r="D14" s="19">
        <f>D6+D12</f>
        <v>220.04142471317991</v>
      </c>
      <c r="E14" s="19">
        <f t="shared" ref="E14:F14" si="9">E6+E12</f>
        <v>158.40162590502555</v>
      </c>
      <c r="F14" s="19">
        <f t="shared" si="9"/>
        <v>232.43072851833671</v>
      </c>
      <c r="G14" s="18">
        <v>220</v>
      </c>
      <c r="H14" s="18">
        <v>158</v>
      </c>
      <c r="I14" s="18">
        <v>232</v>
      </c>
    </row>
    <row r="15" spans="1:30" x14ac:dyDescent="0.15">
      <c r="A15" s="1" t="s">
        <v>51</v>
      </c>
      <c r="B15" s="1" t="s">
        <v>4</v>
      </c>
      <c r="C15" s="13">
        <f>C13-C4*C14/1000</f>
        <v>71.048447052971085</v>
      </c>
      <c r="D15" s="19">
        <f>D13-$C$4*D14/1000</f>
        <v>-155.87432964543802</v>
      </c>
      <c r="E15" s="19">
        <f t="shared" ref="E15:F15" si="10">E13-$C$4*E14/1000</f>
        <v>-108.62460415476636</v>
      </c>
      <c r="F15" s="19">
        <f t="shared" si="10"/>
        <v>-205.34984752838298</v>
      </c>
      <c r="G15" s="19">
        <f>F2*F15+E2*E15+D2*D15</f>
        <v>71.048447052971142</v>
      </c>
      <c r="H15"/>
    </row>
    <row r="16" spans="1:30" x14ac:dyDescent="0.15">
      <c r="A16" s="1" t="s">
        <v>13</v>
      </c>
      <c r="B16" s="1" t="s">
        <v>5</v>
      </c>
      <c r="C16" s="1">
        <v>8.3145000000000007</v>
      </c>
    </row>
    <row r="17" spans="1:14" x14ac:dyDescent="0.15">
      <c r="A17" s="1" t="s">
        <v>22</v>
      </c>
      <c r="C17" s="1">
        <f>-1*C15*1000/C16/C4</f>
        <v>-11.052351588024269</v>
      </c>
      <c r="H17"/>
    </row>
    <row r="18" spans="1:14" x14ac:dyDescent="0.15">
      <c r="A18" s="1" t="s">
        <v>52</v>
      </c>
      <c r="C18" s="4">
        <f>EXP(C17)</f>
        <v>1.5849833094303731E-5</v>
      </c>
    </row>
    <row r="19" spans="1:14" ht="7.5" customHeight="1" x14ac:dyDescent="0.15">
      <c r="H19"/>
    </row>
    <row r="20" spans="1:14" x14ac:dyDescent="0.15">
      <c r="A20" s="1" t="s">
        <v>156</v>
      </c>
      <c r="D20" s="1" t="s">
        <v>17</v>
      </c>
      <c r="E20" s="1" t="s">
        <v>18</v>
      </c>
      <c r="F20" s="1" t="s">
        <v>19</v>
      </c>
    </row>
    <row r="21" spans="1:14" ht="13.8" thickBot="1" x14ac:dyDescent="0.2">
      <c r="A21" s="1" t="s">
        <v>27</v>
      </c>
      <c r="B21" s="1" t="s">
        <v>28</v>
      </c>
      <c r="D21" s="1">
        <v>1</v>
      </c>
      <c r="E21" s="1">
        <v>3</v>
      </c>
      <c r="F21" s="1">
        <v>0</v>
      </c>
      <c r="N21" s="1" t="s">
        <v>112</v>
      </c>
    </row>
    <row r="22" spans="1:14" ht="13.8" thickBot="1" x14ac:dyDescent="0.2">
      <c r="A22" s="1" t="s">
        <v>228</v>
      </c>
      <c r="C22" s="5">
        <v>0.18813580622365531</v>
      </c>
    </row>
    <row r="23" spans="1:14" x14ac:dyDescent="0.15">
      <c r="A23" s="1" t="s">
        <v>59</v>
      </c>
      <c r="B23" s="1" t="s">
        <v>28</v>
      </c>
      <c r="C23" s="1">
        <f>SUM(D23:F23)</f>
        <v>3.6237283875526893</v>
      </c>
      <c r="D23" s="25">
        <f>D21*(1-$C$22)</f>
        <v>0.81186419377634467</v>
      </c>
      <c r="E23" s="25">
        <f>E21*(1-$C$22)</f>
        <v>2.435592581329034</v>
      </c>
      <c r="F23" s="25">
        <f>F2*C22</f>
        <v>0.37627161244731061</v>
      </c>
    </row>
    <row r="24" spans="1:14" ht="13.8" thickBot="1" x14ac:dyDescent="0.2">
      <c r="A24" s="1" t="s">
        <v>30</v>
      </c>
      <c r="D24" s="25">
        <f>D23/$C$23</f>
        <v>0.22404112752077507</v>
      </c>
      <c r="E24" s="25">
        <f>E23/$C$23</f>
        <v>0.67212338256232518</v>
      </c>
      <c r="F24" s="25">
        <f>F23/$C$23</f>
        <v>0.10383548991689974</v>
      </c>
    </row>
    <row r="25" spans="1:14" ht="13.8" thickBot="1" x14ac:dyDescent="0.2">
      <c r="A25" s="1" t="s">
        <v>56</v>
      </c>
      <c r="B25" s="1" t="s">
        <v>31</v>
      </c>
      <c r="C25" s="5">
        <v>10</v>
      </c>
      <c r="D25" s="25"/>
      <c r="E25" s="25"/>
      <c r="F25" s="25"/>
    </row>
    <row r="26" spans="1:14" x14ac:dyDescent="0.15">
      <c r="A26" s="1" t="s">
        <v>133</v>
      </c>
      <c r="B26" s="1" t="s">
        <v>31</v>
      </c>
      <c r="D26" s="25">
        <f>$C$25*D24</f>
        <v>2.2404112752077507</v>
      </c>
      <c r="E26" s="25">
        <f>$C$25*E24</f>
        <v>6.7212338256232513</v>
      </c>
      <c r="F26" s="25">
        <f>$C$25*F24</f>
        <v>1.0383548991689975</v>
      </c>
    </row>
    <row r="27" spans="1:14" x14ac:dyDescent="0.15">
      <c r="A27" s="1" t="s">
        <v>57</v>
      </c>
      <c r="B27" s="1" t="s">
        <v>31</v>
      </c>
      <c r="C27" s="1">
        <v>0.1</v>
      </c>
    </row>
    <row r="28" spans="1:14" x14ac:dyDescent="0.15">
      <c r="A28" s="1" t="s">
        <v>58</v>
      </c>
      <c r="C28" s="12">
        <f>(F26/C27)^F2*(D26/C27)^D2*(E26/C27)^E2/C18-1</f>
        <v>-1.801383261890166E-5</v>
      </c>
      <c r="H28"/>
    </row>
    <row r="36" spans="1:25" x14ac:dyDescent="0.15">
      <c r="A36" s="1" t="s">
        <v>230</v>
      </c>
      <c r="V36" s="1" t="s">
        <v>139</v>
      </c>
    </row>
    <row r="37" spans="1:25" x14ac:dyDescent="0.15">
      <c r="A37" s="1" t="s">
        <v>34</v>
      </c>
      <c r="B37" s="1" t="s">
        <v>53</v>
      </c>
      <c r="C37" s="1" t="s">
        <v>54</v>
      </c>
      <c r="D37" s="1" t="s">
        <v>55</v>
      </c>
      <c r="W37" s="1" t="s">
        <v>142</v>
      </c>
      <c r="X37" s="1" t="s">
        <v>140</v>
      </c>
      <c r="Y37" s="1" t="s">
        <v>141</v>
      </c>
    </row>
    <row r="38" spans="1:25" x14ac:dyDescent="0.15">
      <c r="A38" s="1" t="s">
        <v>35</v>
      </c>
      <c r="B38" s="1" t="s">
        <v>36</v>
      </c>
      <c r="C38" s="1" t="s">
        <v>37</v>
      </c>
      <c r="D38" s="1" t="s">
        <v>38</v>
      </c>
      <c r="V38" s="1" t="s">
        <v>136</v>
      </c>
      <c r="W38" s="1" t="s">
        <v>137</v>
      </c>
    </row>
    <row r="39" spans="1:25" x14ac:dyDescent="0.15">
      <c r="A39" s="1">
        <v>5</v>
      </c>
      <c r="B39" s="1">
        <v>0.84599999999999997</v>
      </c>
      <c r="C39" s="1">
        <v>0.27100000000000002</v>
      </c>
      <c r="D39" s="1">
        <v>0.109</v>
      </c>
      <c r="V39" s="1" t="s">
        <v>138</v>
      </c>
    </row>
    <row r="40" spans="1:25" x14ac:dyDescent="0.15">
      <c r="A40" s="1">
        <v>10</v>
      </c>
      <c r="B40" s="1">
        <v>0.89</v>
      </c>
      <c r="C40" s="1">
        <v>0.39800000000000002</v>
      </c>
      <c r="D40" s="1">
        <v>0.188</v>
      </c>
      <c r="V40" s="1">
        <v>5</v>
      </c>
      <c r="W40" s="1">
        <v>0.10944766356799999</v>
      </c>
      <c r="X40" s="1">
        <v>0.27457706254699998</v>
      </c>
      <c r="Y40" s="1">
        <v>0.86042718472900004</v>
      </c>
    </row>
    <row r="41" spans="1:25" x14ac:dyDescent="0.15">
      <c r="A41" s="1">
        <v>15</v>
      </c>
      <c r="B41" s="1">
        <v>0.91</v>
      </c>
      <c r="C41" s="1">
        <v>0.47599999999999998</v>
      </c>
      <c r="D41" s="1">
        <v>0.249</v>
      </c>
      <c r="V41" s="1">
        <v>7.5</v>
      </c>
      <c r="W41" s="1">
        <v>0.15354733328100001</v>
      </c>
      <c r="X41" s="1">
        <v>0.35068302866000001</v>
      </c>
      <c r="Y41" s="1">
        <v>0.89343824953700002</v>
      </c>
    </row>
    <row r="42" spans="1:25" x14ac:dyDescent="0.15">
      <c r="A42" s="1">
        <v>20</v>
      </c>
      <c r="B42" s="1">
        <v>0.92200000000000004</v>
      </c>
      <c r="C42" s="1">
        <v>0.53</v>
      </c>
      <c r="D42" s="1">
        <v>0.29899999999999999</v>
      </c>
      <c r="V42" s="1">
        <v>10</v>
      </c>
      <c r="W42" s="1">
        <v>0.19247692525099999</v>
      </c>
      <c r="X42" s="1">
        <v>0.41030886873099998</v>
      </c>
      <c r="Y42" s="1">
        <v>0.914598745454</v>
      </c>
    </row>
    <row r="43" spans="1:25" x14ac:dyDescent="0.15">
      <c r="A43" s="1">
        <v>25</v>
      </c>
      <c r="B43" s="1">
        <v>0.93</v>
      </c>
      <c r="C43" s="1">
        <v>0.56999999999999995</v>
      </c>
      <c r="D43" s="1">
        <v>0.33900000000000002</v>
      </c>
      <c r="V43" s="1">
        <v>12.5</v>
      </c>
      <c r="W43" s="1">
        <v>0.22720940237100001</v>
      </c>
      <c r="X43" s="1">
        <v>0.45779896212600002</v>
      </c>
      <c r="Y43" s="1">
        <v>0.93003148520199996</v>
      </c>
    </row>
    <row r="44" spans="1:25" x14ac:dyDescent="0.15">
      <c r="Q44" s="12"/>
      <c r="V44" s="1">
        <v>15</v>
      </c>
      <c r="W44" s="1">
        <v>0.25847914042499998</v>
      </c>
      <c r="X44" s="1">
        <v>0.49758544754099998</v>
      </c>
      <c r="Y44" s="1">
        <v>0.94210077681600002</v>
      </c>
    </row>
    <row r="45" spans="1:25" x14ac:dyDescent="0.15">
      <c r="V45" s="1">
        <v>17.5</v>
      </c>
      <c r="W45" s="1">
        <v>0.28730760301000002</v>
      </c>
      <c r="X45" s="1">
        <v>0.53053701823699995</v>
      </c>
      <c r="Y45" s="1">
        <v>0.95192309398499997</v>
      </c>
    </row>
    <row r="46" spans="1:25" x14ac:dyDescent="0.15">
      <c r="A46" s="1" t="s">
        <v>44</v>
      </c>
      <c r="B46" s="1" t="s">
        <v>45</v>
      </c>
      <c r="C46" s="1" t="s">
        <v>80</v>
      </c>
      <c r="D46" s="1" t="s">
        <v>113</v>
      </c>
      <c r="V46" s="1">
        <v>20</v>
      </c>
      <c r="W46" s="1">
        <v>0.31327555300999999</v>
      </c>
      <c r="X46" s="1">
        <v>0.55994414869800002</v>
      </c>
      <c r="Y46" s="1">
        <v>0.96003486578099995</v>
      </c>
    </row>
    <row r="47" spans="1:25" x14ac:dyDescent="0.15">
      <c r="A47" s="1">
        <v>298</v>
      </c>
      <c r="B47" s="4">
        <v>610000</v>
      </c>
      <c r="D47" s="1">
        <f>LOG(B47)</f>
        <v>5.7853298350107671</v>
      </c>
      <c r="V47" s="1">
        <v>22.5</v>
      </c>
      <c r="W47" s="1">
        <v>0.33753840118900003</v>
      </c>
      <c r="X47" s="1">
        <v>0.58476734393499996</v>
      </c>
      <c r="Y47" s="1">
        <v>0.96672980493399996</v>
      </c>
    </row>
    <row r="48" spans="1:25" x14ac:dyDescent="0.15">
      <c r="A48" s="1">
        <v>398</v>
      </c>
      <c r="B48" s="1">
        <f t="shared" ref="B48:B53" si="11">$B$47/C48</f>
        <v>53.067368966157467</v>
      </c>
      <c r="C48" s="1">
        <f t="shared" ref="C48:C53" si="12">EXP(-(92200/8.3145)*(1/A48-1/298))</f>
        <v>11494.82274858989</v>
      </c>
      <c r="D48" s="1">
        <f t="shared" ref="D48:D53" si="13">LOG(B48)</f>
        <v>1.7248275562217226</v>
      </c>
      <c r="V48" s="1">
        <v>25</v>
      </c>
      <c r="W48" s="1">
        <v>0.359761842246</v>
      </c>
      <c r="X48" s="1">
        <v>0.60740509468699999</v>
      </c>
      <c r="Y48" s="1">
        <v>0.97198073045800004</v>
      </c>
    </row>
    <row r="49" spans="1:23" x14ac:dyDescent="0.15">
      <c r="A49" s="1">
        <v>500</v>
      </c>
      <c r="B49" s="1">
        <f t="shared" si="11"/>
        <v>0.1804542067957477</v>
      </c>
      <c r="C49" s="1">
        <f t="shared" si="12"/>
        <v>3380358.9887513462</v>
      </c>
      <c r="D49" s="1">
        <f t="shared" si="13"/>
        <v>-0.74363298909971398</v>
      </c>
    </row>
    <row r="50" spans="1:23" x14ac:dyDescent="0.15">
      <c r="A50" s="1">
        <v>598</v>
      </c>
      <c r="B50" s="1">
        <f t="shared" si="11"/>
        <v>4.7632738712517367E-3</v>
      </c>
      <c r="C50" s="1">
        <f t="shared" si="12"/>
        <v>128063180.17563382</v>
      </c>
      <c r="D50" s="1">
        <f t="shared" si="13"/>
        <v>-2.322094447387427</v>
      </c>
    </row>
    <row r="51" spans="1:23" x14ac:dyDescent="0.15">
      <c r="A51" s="1">
        <v>698</v>
      </c>
      <c r="B51" s="1">
        <f t="shared" si="11"/>
        <v>3.3429272837632733E-4</v>
      </c>
      <c r="C51" s="1">
        <f t="shared" si="12"/>
        <v>1824748037.3348038</v>
      </c>
      <c r="D51" s="1">
        <f t="shared" si="13"/>
        <v>-3.4758730701929008</v>
      </c>
      <c r="Q51" s="4"/>
      <c r="W51" s="4"/>
    </row>
    <row r="52" spans="1:23" x14ac:dyDescent="0.15">
      <c r="A52" s="1">
        <v>850</v>
      </c>
      <c r="B52" s="1">
        <f t="shared" si="11"/>
        <v>1.9512674151127048E-5</v>
      </c>
      <c r="C52" s="1">
        <f t="shared" si="12"/>
        <v>31261732516.799419</v>
      </c>
      <c r="D52" s="1">
        <f t="shared" si="13"/>
        <v>-4.7096832078226214</v>
      </c>
    </row>
    <row r="53" spans="1:23" x14ac:dyDescent="0.15">
      <c r="A53" s="1">
        <v>1000</v>
      </c>
      <c r="B53" s="1">
        <f t="shared" si="11"/>
        <v>2.7570769546609579E-6</v>
      </c>
      <c r="C53" s="1">
        <f t="shared" si="12"/>
        <v>221248811705.7337</v>
      </c>
      <c r="D53" s="1">
        <f t="shared" si="13"/>
        <v>-5.559551111834673</v>
      </c>
    </row>
    <row r="55" spans="1:23" x14ac:dyDescent="0.15">
      <c r="A55" s="7" t="s">
        <v>75</v>
      </c>
    </row>
    <row r="56" spans="1:23" x14ac:dyDescent="0.15">
      <c r="A56" s="1" t="s">
        <v>74</v>
      </c>
    </row>
    <row r="57" spans="1:23" x14ac:dyDescent="0.15">
      <c r="A57" s="1" t="s">
        <v>20</v>
      </c>
      <c r="B57" s="1" t="s">
        <v>2</v>
      </c>
    </row>
    <row r="58" spans="1:23" x14ac:dyDescent="0.15">
      <c r="A58" s="1">
        <v>298</v>
      </c>
      <c r="B58" s="4">
        <v>610000</v>
      </c>
      <c r="C58" s="1" t="s">
        <v>76</v>
      </c>
    </row>
    <row r="59" spans="1:23" x14ac:dyDescent="0.15">
      <c r="A59" s="1" t="s">
        <v>77</v>
      </c>
    </row>
    <row r="60" spans="1:23" x14ac:dyDescent="0.15">
      <c r="A60" s="1" t="s">
        <v>20</v>
      </c>
      <c r="B60" s="1" t="s">
        <v>2</v>
      </c>
    </row>
    <row r="61" spans="1:23" x14ac:dyDescent="0.15">
      <c r="A61" s="1">
        <v>673</v>
      </c>
      <c r="B61" s="4">
        <v>1.64E-4</v>
      </c>
    </row>
    <row r="62" spans="1:23" x14ac:dyDescent="0.15">
      <c r="A62" s="1">
        <v>773</v>
      </c>
      <c r="B62" s="4">
        <v>1.4399999999999999E-5</v>
      </c>
      <c r="C62" s="1" t="s">
        <v>76</v>
      </c>
    </row>
    <row r="63" spans="1:23" x14ac:dyDescent="0.15">
      <c r="A63" s="1" t="s">
        <v>111</v>
      </c>
    </row>
    <row r="64" spans="1:23" x14ac:dyDescent="0.15">
      <c r="A64" s="1" t="s">
        <v>20</v>
      </c>
      <c r="B64" s="1" t="s">
        <v>43</v>
      </c>
    </row>
    <row r="65" spans="1:3" x14ac:dyDescent="0.15">
      <c r="A65" s="1">
        <v>300</v>
      </c>
      <c r="B65" s="1">
        <f>EXP(9133/A65-7.777*LN(A65)+0.004309*A65-0.0000004098*A65^2+25.73)</f>
        <v>474888.36195581651</v>
      </c>
    </row>
    <row r="66" spans="1:3" x14ac:dyDescent="0.15">
      <c r="A66" s="1">
        <v>400</v>
      </c>
      <c r="B66" s="1">
        <f t="shared" ref="B66:B73" si="14">EXP(9133/A66-7.777*LN(A66)+0.004309*A66-0.0000004098*A66^2+25.73)</f>
        <v>37.52142927670269</v>
      </c>
    </row>
    <row r="67" spans="1:3" x14ac:dyDescent="0.15">
      <c r="A67" s="1">
        <v>473.15</v>
      </c>
      <c r="B67" s="1">
        <f t="shared" si="14"/>
        <v>0.39766596207597338</v>
      </c>
    </row>
    <row r="68" spans="1:3" x14ac:dyDescent="0.15">
      <c r="A68" s="1">
        <v>500</v>
      </c>
      <c r="B68" s="1">
        <f t="shared" si="14"/>
        <v>0.10198218055209897</v>
      </c>
    </row>
    <row r="69" spans="1:3" x14ac:dyDescent="0.15">
      <c r="A69" s="1">
        <v>600</v>
      </c>
      <c r="B69" s="1">
        <f t="shared" si="14"/>
        <v>1.7304336070755801E-3</v>
      </c>
    </row>
    <row r="70" spans="1:3" x14ac:dyDescent="0.15">
      <c r="A70" s="1">
        <v>700</v>
      </c>
      <c r="B70" s="1">
        <f t="shared" si="14"/>
        <v>8.6522080691697149E-5</v>
      </c>
    </row>
    <row r="71" spans="1:3" x14ac:dyDescent="0.15">
      <c r="A71" s="1">
        <v>800</v>
      </c>
      <c r="B71" s="1">
        <f t="shared" si="14"/>
        <v>8.6751546424304045E-6</v>
      </c>
    </row>
    <row r="72" spans="1:3" x14ac:dyDescent="0.15">
      <c r="A72" s="1">
        <v>900</v>
      </c>
      <c r="B72" s="1">
        <f t="shared" si="14"/>
        <v>1.4010560327341177E-6</v>
      </c>
    </row>
    <row r="73" spans="1:3" x14ac:dyDescent="0.15">
      <c r="A73" s="1">
        <v>1000</v>
      </c>
      <c r="B73" s="1">
        <f t="shared" si="14"/>
        <v>3.1857344096274878E-7</v>
      </c>
      <c r="C73" s="1" t="s">
        <v>76</v>
      </c>
    </row>
    <row r="74" spans="1:3" x14ac:dyDescent="0.15">
      <c r="A74" s="1" t="s">
        <v>110</v>
      </c>
    </row>
    <row r="75" spans="1:3" x14ac:dyDescent="0.15">
      <c r="A75" s="1" t="s">
        <v>20</v>
      </c>
      <c r="B75" s="1" t="s">
        <v>2</v>
      </c>
    </row>
    <row r="76" spans="1:3" x14ac:dyDescent="0.15">
      <c r="A76" s="1">
        <v>298</v>
      </c>
      <c r="B76" s="4">
        <v>680000</v>
      </c>
    </row>
    <row r="77" spans="1:3" x14ac:dyDescent="0.15">
      <c r="A77" s="1">
        <v>400</v>
      </c>
      <c r="B77" s="1">
        <v>41</v>
      </c>
    </row>
    <row r="78" spans="1:3" x14ac:dyDescent="0.15">
      <c r="A78" s="1">
        <v>500</v>
      </c>
      <c r="B78" s="4">
        <v>3.5999999999999997E-2</v>
      </c>
      <c r="C78" s="1" t="s">
        <v>78</v>
      </c>
    </row>
    <row r="79" spans="1:3" x14ac:dyDescent="0.15">
      <c r="A79" s="1" t="s">
        <v>79</v>
      </c>
    </row>
    <row r="80" spans="1:3" x14ac:dyDescent="0.15">
      <c r="A80" s="1" t="s">
        <v>20</v>
      </c>
      <c r="B80" s="1" t="s">
        <v>2</v>
      </c>
    </row>
    <row r="81" spans="1:3" x14ac:dyDescent="0.15">
      <c r="A81" s="1">
        <v>800</v>
      </c>
      <c r="B81" s="4">
        <v>8.9299999999999992E-6</v>
      </c>
      <c r="C81" s="1" t="s">
        <v>78</v>
      </c>
    </row>
    <row r="82" spans="1:3" x14ac:dyDescent="0.15">
      <c r="A82" s="1" t="s">
        <v>81</v>
      </c>
    </row>
    <row r="83" spans="1:3" x14ac:dyDescent="0.15">
      <c r="A83" s="1" t="s">
        <v>20</v>
      </c>
      <c r="B83" s="1" t="s">
        <v>82</v>
      </c>
    </row>
    <row r="84" spans="1:3" x14ac:dyDescent="0.15">
      <c r="A84" s="1">
        <v>298</v>
      </c>
      <c r="B84" s="4">
        <v>581000</v>
      </c>
    </row>
    <row r="85" spans="1:3" x14ac:dyDescent="0.15">
      <c r="A85" s="1">
        <v>1000</v>
      </c>
      <c r="B85" s="4">
        <v>2.8200000000000001E-7</v>
      </c>
      <c r="C85" s="1" t="s">
        <v>78</v>
      </c>
    </row>
    <row r="86" spans="1:3" x14ac:dyDescent="0.15">
      <c r="A86" s="1" t="s">
        <v>108</v>
      </c>
    </row>
    <row r="87" spans="1:3" x14ac:dyDescent="0.15">
      <c r="A87" s="1" t="s">
        <v>20</v>
      </c>
      <c r="B87" s="1" t="s">
        <v>2</v>
      </c>
    </row>
    <row r="88" spans="1:3" x14ac:dyDescent="0.15">
      <c r="A88" s="1">
        <v>300</v>
      </c>
      <c r="B88" s="1">
        <f>EXP(-23.85+11100/A88)</f>
        <v>514011.02827753447</v>
      </c>
    </row>
    <row r="89" spans="1:3" x14ac:dyDescent="0.15">
      <c r="A89" s="1">
        <v>400</v>
      </c>
      <c r="B89" s="1">
        <f t="shared" ref="B89:B95" si="15">EXP(-23.85+11100/A89)</f>
        <v>49.402449105530103</v>
      </c>
    </row>
    <row r="90" spans="1:3" x14ac:dyDescent="0.15">
      <c r="A90" s="1">
        <v>500</v>
      </c>
      <c r="B90" s="1">
        <f t="shared" si="15"/>
        <v>0.19204990862075372</v>
      </c>
    </row>
    <row r="91" spans="1:3" x14ac:dyDescent="0.15">
      <c r="A91" s="1">
        <v>600</v>
      </c>
      <c r="B91" s="1">
        <f t="shared" si="15"/>
        <v>4.748150999411469E-3</v>
      </c>
    </row>
    <row r="92" spans="1:3" x14ac:dyDescent="0.15">
      <c r="A92" s="1">
        <v>700</v>
      </c>
      <c r="B92" s="1">
        <f t="shared" si="15"/>
        <v>3.3786736766244714E-4</v>
      </c>
    </row>
    <row r="93" spans="1:3" x14ac:dyDescent="0.15">
      <c r="A93" s="1">
        <v>800</v>
      </c>
      <c r="B93" s="1">
        <f t="shared" si="15"/>
        <v>4.654923445622269E-5</v>
      </c>
    </row>
    <row r="94" spans="1:3" x14ac:dyDescent="0.15">
      <c r="A94" s="1">
        <v>900</v>
      </c>
      <c r="B94" s="1">
        <f t="shared" si="15"/>
        <v>9.9626578787943985E-6</v>
      </c>
    </row>
    <row r="95" spans="1:3" x14ac:dyDescent="0.15">
      <c r="A95" s="1">
        <v>1000</v>
      </c>
      <c r="B95" s="1">
        <f t="shared" si="15"/>
        <v>2.9023204086503985E-6</v>
      </c>
      <c r="C95" s="1" t="s">
        <v>109</v>
      </c>
    </row>
    <row r="96" spans="1:3" x14ac:dyDescent="0.15">
      <c r="A96" s="1" t="s">
        <v>114</v>
      </c>
    </row>
    <row r="97" spans="1:3" x14ac:dyDescent="0.15">
      <c r="A97" s="1" t="s">
        <v>20</v>
      </c>
      <c r="B97" s="1" t="s">
        <v>115</v>
      </c>
    </row>
    <row r="98" spans="1:3" x14ac:dyDescent="0.15">
      <c r="A98" s="1">
        <v>400</v>
      </c>
      <c r="B98" s="1">
        <v>39.85</v>
      </c>
    </row>
    <row r="99" spans="1:3" x14ac:dyDescent="0.15">
      <c r="A99" s="1">
        <v>500</v>
      </c>
      <c r="B99" s="1">
        <v>0.112</v>
      </c>
    </row>
    <row r="100" spans="1:3" x14ac:dyDescent="0.15">
      <c r="A100" s="1">
        <v>700</v>
      </c>
      <c r="B100" s="4">
        <v>9.9500000000000006E-5</v>
      </c>
    </row>
    <row r="101" spans="1:3" x14ac:dyDescent="0.15">
      <c r="A101" s="1">
        <v>900</v>
      </c>
      <c r="B101" s="4">
        <v>1.6500000000000001E-6</v>
      </c>
    </row>
    <row r="104" spans="1:3" x14ac:dyDescent="0.15">
      <c r="A104" s="11" t="s">
        <v>123</v>
      </c>
    </row>
    <row r="105" spans="1:3" x14ac:dyDescent="0.15">
      <c r="A105" s="1" t="s">
        <v>124</v>
      </c>
      <c r="C105" s="1" t="s">
        <v>125</v>
      </c>
    </row>
    <row r="106" spans="1:3" x14ac:dyDescent="0.15">
      <c r="A106" s="1" t="s">
        <v>126</v>
      </c>
      <c r="B106" s="1">
        <v>0</v>
      </c>
      <c r="C106" s="1" t="s">
        <v>127</v>
      </c>
    </row>
    <row r="107" spans="1:3" x14ac:dyDescent="0.15">
      <c r="A107" s="1" t="s">
        <v>128</v>
      </c>
      <c r="B107" s="1">
        <v>0</v>
      </c>
      <c r="C107" s="1" t="s">
        <v>127</v>
      </c>
    </row>
    <row r="108" spans="1:3" x14ac:dyDescent="0.15">
      <c r="A108" s="1" t="s">
        <v>129</v>
      </c>
      <c r="B108" s="1">
        <v>4.7</v>
      </c>
      <c r="C108" s="1" t="s">
        <v>127</v>
      </c>
    </row>
    <row r="109" spans="1:3" x14ac:dyDescent="0.15">
      <c r="A109" s="1" t="s">
        <v>130</v>
      </c>
      <c r="B109" s="1">
        <f>2*B108</f>
        <v>9.4</v>
      </c>
      <c r="C109" s="1" t="s">
        <v>127</v>
      </c>
    </row>
    <row r="110" spans="1:3" x14ac:dyDescent="0.15">
      <c r="A110" s="1" t="s">
        <v>13</v>
      </c>
      <c r="B110" s="1">
        <v>8.3145000000000007</v>
      </c>
    </row>
    <row r="111" spans="1:3" x14ac:dyDescent="0.15">
      <c r="A111" s="1" t="s">
        <v>131</v>
      </c>
      <c r="B111" s="1">
        <v>500</v>
      </c>
    </row>
    <row r="112" spans="1:3" x14ac:dyDescent="0.15">
      <c r="A112" s="1" t="s">
        <v>132</v>
      </c>
      <c r="B112" s="7">
        <f>EXP(-1*B109*1000/B110/B111)</f>
        <v>0.10423470863249362</v>
      </c>
    </row>
  </sheetData>
  <phoneticPr fontId="1"/>
  <pageMargins left="0.75" right="0.75" top="1" bottom="1" header="0.51200000000000001" footer="0.51200000000000001"/>
  <pageSetup paperSize="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 sizeWithCells="1">
              <from>
                <xdr:col>4</xdr:col>
                <xdr:colOff>411480</xdr:colOff>
                <xdr:row>0</xdr:row>
                <xdr:rowOff>0</xdr:rowOff>
              </from>
              <to>
                <xdr:col>9</xdr:col>
                <xdr:colOff>594360</xdr:colOff>
                <xdr:row>0</xdr:row>
                <xdr:rowOff>0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45" r:id="rId6">
          <objectPr defaultSize="0" autoPict="0" r:id="rId7">
            <anchor moveWithCells="1" sizeWithCells="1">
              <from>
                <xdr:col>6</xdr:col>
                <xdr:colOff>7620</xdr:colOff>
                <xdr:row>15</xdr:row>
                <xdr:rowOff>83820</xdr:rowOff>
              </from>
              <to>
                <xdr:col>8</xdr:col>
                <xdr:colOff>152400</xdr:colOff>
                <xdr:row>16</xdr:row>
                <xdr:rowOff>160020</xdr:rowOff>
              </to>
            </anchor>
          </objectPr>
        </oleObject>
      </mc:Choice>
      <mc:Fallback>
        <oleObject progId="Equation.3" shapeId="1045" r:id="rId6"/>
      </mc:Fallback>
    </mc:AlternateContent>
    <mc:AlternateContent xmlns:mc="http://schemas.openxmlformats.org/markup-compatibility/2006">
      <mc:Choice Requires="x14">
        <oleObject progId="Equation.3" shapeId="1046" r:id="rId8">
          <objectPr defaultSize="0" autoPict="0" r:id="rId9">
            <anchor moveWithCells="1" sizeWithCells="1">
              <from>
                <xdr:col>6</xdr:col>
                <xdr:colOff>83820</xdr:colOff>
                <xdr:row>16</xdr:row>
                <xdr:rowOff>99060</xdr:rowOff>
              </from>
              <to>
                <xdr:col>11</xdr:col>
                <xdr:colOff>198120</xdr:colOff>
                <xdr:row>18</xdr:row>
                <xdr:rowOff>0</xdr:rowOff>
              </to>
            </anchor>
          </objectPr>
        </oleObject>
      </mc:Choice>
      <mc:Fallback>
        <oleObject progId="Equation.3" shapeId="1046" r:id="rId8"/>
      </mc:Fallback>
    </mc:AlternateContent>
    <mc:AlternateContent xmlns:mc="http://schemas.openxmlformats.org/markup-compatibility/2006">
      <mc:Choice Requires="x14">
        <oleObject progId="Equation.3" shapeId="1047" r:id="rId10">
          <objectPr defaultSize="0" autoPict="0" r:id="rId11">
            <anchor moveWithCells="1" sizeWithCells="1">
              <from>
                <xdr:col>6</xdr:col>
                <xdr:colOff>137160</xdr:colOff>
                <xdr:row>17</xdr:row>
                <xdr:rowOff>144780</xdr:rowOff>
              </from>
              <to>
                <xdr:col>14</xdr:col>
                <xdr:colOff>403860</xdr:colOff>
                <xdr:row>20</xdr:row>
                <xdr:rowOff>38100</xdr:rowOff>
              </to>
            </anchor>
          </objectPr>
        </oleObject>
      </mc:Choice>
      <mc:Fallback>
        <oleObject progId="Equation.3" shapeId="1047" r:id="rId10"/>
      </mc:Fallback>
    </mc:AlternateContent>
    <mc:AlternateContent xmlns:mc="http://schemas.openxmlformats.org/markup-compatibility/2006">
      <mc:Choice Requires="x14">
        <oleObject progId="Equation.3" shapeId="1049" r:id="rId12">
          <objectPr defaultSize="0" autoPict="0" r:id="rId13">
            <anchor moveWithCells="1" sizeWithCells="1">
              <from>
                <xdr:col>7</xdr:col>
                <xdr:colOff>7620</xdr:colOff>
                <xdr:row>22</xdr:row>
                <xdr:rowOff>99060</xdr:rowOff>
              </from>
              <to>
                <xdr:col>9</xdr:col>
                <xdr:colOff>365760</xdr:colOff>
                <xdr:row>23</xdr:row>
                <xdr:rowOff>152400</xdr:rowOff>
              </to>
            </anchor>
          </objectPr>
        </oleObject>
      </mc:Choice>
      <mc:Fallback>
        <oleObject progId="Equation.3" shapeId="1049" r:id="rId12"/>
      </mc:Fallback>
    </mc:AlternateContent>
    <mc:AlternateContent xmlns:mc="http://schemas.openxmlformats.org/markup-compatibility/2006">
      <mc:Choice Requires="x14">
        <oleObject progId="Equation.3" shapeId="1050" r:id="rId14">
          <objectPr defaultSize="0" autoPict="0" r:id="rId15">
            <anchor moveWithCells="1" sizeWithCells="1">
              <from>
                <xdr:col>7</xdr:col>
                <xdr:colOff>137160</xdr:colOff>
                <xdr:row>24</xdr:row>
                <xdr:rowOff>22860</xdr:rowOff>
              </from>
              <to>
                <xdr:col>8</xdr:col>
                <xdr:colOff>784860</xdr:colOff>
                <xdr:row>24</xdr:row>
                <xdr:rowOff>175260</xdr:rowOff>
              </to>
            </anchor>
          </objectPr>
        </oleObject>
      </mc:Choice>
      <mc:Fallback>
        <oleObject progId="Equation.3" shapeId="1050" r:id="rId14"/>
      </mc:Fallback>
    </mc:AlternateContent>
    <mc:AlternateContent xmlns:mc="http://schemas.openxmlformats.org/markup-compatibility/2006">
      <mc:Choice Requires="x14">
        <oleObject progId="Equation.3" shapeId="1051" r:id="rId16">
          <objectPr defaultSize="0" autoPict="0" r:id="rId17">
            <anchor moveWithCells="1" sizeWithCells="1">
              <from>
                <xdr:col>7</xdr:col>
                <xdr:colOff>0</xdr:colOff>
                <xdr:row>27</xdr:row>
                <xdr:rowOff>0</xdr:rowOff>
              </from>
              <to>
                <xdr:col>9</xdr:col>
                <xdr:colOff>266700</xdr:colOff>
                <xdr:row>29</xdr:row>
                <xdr:rowOff>121920</xdr:rowOff>
              </to>
            </anchor>
          </objectPr>
        </oleObject>
      </mc:Choice>
      <mc:Fallback>
        <oleObject progId="Equation.3" shapeId="1051" r:id="rId16"/>
      </mc:Fallback>
    </mc:AlternateContent>
    <mc:AlternateContent xmlns:mc="http://schemas.openxmlformats.org/markup-compatibility/2006">
      <mc:Choice Requires="x14">
        <oleObject progId="Equation.3" shapeId="1052" r:id="rId18">
          <objectPr defaultSize="0" autoPict="0" r:id="rId19">
            <anchor moveWithCells="1" sizeWithCells="1">
              <from>
                <xdr:col>6</xdr:col>
                <xdr:colOff>274320</xdr:colOff>
                <xdr:row>20</xdr:row>
                <xdr:rowOff>0</xdr:rowOff>
              </from>
              <to>
                <xdr:col>12</xdr:col>
                <xdr:colOff>708660</xdr:colOff>
                <xdr:row>22</xdr:row>
                <xdr:rowOff>60960</xdr:rowOff>
              </to>
            </anchor>
          </objectPr>
        </oleObject>
      </mc:Choice>
      <mc:Fallback>
        <oleObject progId="Equation.3" shapeId="1052" r:id="rId18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1"/>
  <sheetViews>
    <sheetView tabSelected="1" topLeftCell="A4" zoomScale="98" zoomScaleNormal="98" workbookViewId="0">
      <selection activeCell="C36" sqref="C36"/>
    </sheetView>
  </sheetViews>
  <sheetFormatPr defaultColWidth="9.28515625" defaultRowHeight="12" x14ac:dyDescent="0.15"/>
  <cols>
    <col min="1" max="1" width="34.85546875" style="2" customWidth="1"/>
    <col min="2" max="2" width="16" style="2" customWidth="1"/>
    <col min="3" max="3" width="13.28515625" style="2" customWidth="1"/>
    <col min="4" max="4" width="13.140625" style="2" customWidth="1"/>
    <col min="5" max="5" width="12.7109375" style="2" customWidth="1"/>
    <col min="6" max="6" width="12.85546875" style="2" customWidth="1"/>
    <col min="7" max="7" width="12.7109375" style="2" customWidth="1"/>
    <col min="8" max="11" width="12" style="2" customWidth="1"/>
    <col min="12" max="16384" width="9.28515625" style="2"/>
  </cols>
  <sheetData>
    <row r="1" spans="1:22" ht="13.2" x14ac:dyDescent="0.15">
      <c r="A1" s="1" t="s">
        <v>14</v>
      </c>
      <c r="B1" s="1"/>
      <c r="C1" s="1" t="s">
        <v>184</v>
      </c>
      <c r="D1" s="1" t="s">
        <v>185</v>
      </c>
      <c r="E1" s="1" t="s">
        <v>186</v>
      </c>
      <c r="F1" s="1" t="s">
        <v>187</v>
      </c>
      <c r="G1" s="1" t="s">
        <v>18</v>
      </c>
      <c r="Q1" s="2" t="s">
        <v>83</v>
      </c>
    </row>
    <row r="2" spans="1:22" ht="13.2" x14ac:dyDescent="0.15">
      <c r="A2" s="1" t="s">
        <v>0</v>
      </c>
      <c r="B2" s="1"/>
      <c r="C2" s="1"/>
      <c r="D2" s="1">
        <v>-1</v>
      </c>
      <c r="E2" s="1">
        <v>-1</v>
      </c>
      <c r="F2" s="1">
        <v>1</v>
      </c>
      <c r="G2" s="1">
        <v>3</v>
      </c>
      <c r="O2" s="2" t="s">
        <v>7</v>
      </c>
      <c r="P2" s="2" t="s">
        <v>188</v>
      </c>
      <c r="Q2" s="2" t="s">
        <v>84</v>
      </c>
      <c r="R2" s="2" t="s">
        <v>72</v>
      </c>
      <c r="S2" s="6" t="s">
        <v>189</v>
      </c>
      <c r="U2" s="2" t="s">
        <v>42</v>
      </c>
      <c r="V2" s="2" t="s">
        <v>177</v>
      </c>
    </row>
    <row r="3" spans="1:22" ht="13.8" thickBot="1" x14ac:dyDescent="0.2">
      <c r="A3" s="1" t="s">
        <v>73</v>
      </c>
      <c r="B3" s="1" t="s">
        <v>21</v>
      </c>
      <c r="C3" s="1">
        <v>298</v>
      </c>
      <c r="D3" s="1"/>
      <c r="E3" s="1"/>
      <c r="F3" s="1"/>
      <c r="G3" s="1"/>
      <c r="O3" s="2">
        <v>700</v>
      </c>
      <c r="P3" s="2">
        <v>2.5000000000000001E-4</v>
      </c>
      <c r="Q3" s="2">
        <f>EXP(-22666/O3+8.344*LN(O3)-0.004824*O3+0.000000434*O3^2-27.326)</f>
        <v>2.7248535609719372E-4</v>
      </c>
      <c r="R3" s="2">
        <v>2.5551458822297676E-4</v>
      </c>
      <c r="S3" s="2">
        <v>2.52E-4</v>
      </c>
      <c r="U3" s="2">
        <f>LN(P3)</f>
        <v>-8.2940496401020276</v>
      </c>
      <c r="V3" s="2">
        <f>LOG(P3)</f>
        <v>-3.6020599913279625</v>
      </c>
    </row>
    <row r="4" spans="1:22" ht="13.8" thickBot="1" x14ac:dyDescent="0.2">
      <c r="A4" s="1" t="s">
        <v>3</v>
      </c>
      <c r="B4" s="1" t="s">
        <v>21</v>
      </c>
      <c r="C4" s="5">
        <v>1173</v>
      </c>
      <c r="D4" s="1"/>
      <c r="E4" s="1"/>
      <c r="F4" s="1"/>
      <c r="G4" s="1"/>
      <c r="O4" s="2">
        <v>800</v>
      </c>
      <c r="P4" s="2">
        <v>2.9000000000000001E-2</v>
      </c>
      <c r="Q4" s="2">
        <f t="shared" ref="Q4:Q11" si="0">EXP(-22666/O4+8.344*LN(O4)-0.004824*O4+0.000000434*O4^2-27.326)</f>
        <v>3.1318705368226708E-2</v>
      </c>
      <c r="R4" s="2">
        <v>2.9475730736981426E-2</v>
      </c>
      <c r="S4" s="2">
        <v>2.93E-2</v>
      </c>
      <c r="U4" s="2">
        <f t="shared" ref="U4:U11" si="1">LN(P4)</f>
        <v>-3.5404594489956631</v>
      </c>
      <c r="V4" s="2">
        <f t="shared" ref="V4:V11" si="2">LOG(P4)</f>
        <v>-1.5376020021010439</v>
      </c>
    </row>
    <row r="5" spans="1:22" ht="13.2" x14ac:dyDescent="0.15">
      <c r="A5" s="1" t="s">
        <v>190</v>
      </c>
      <c r="B5" s="1" t="s">
        <v>191</v>
      </c>
      <c r="C5" s="1">
        <f>D2*D5+F2*F5+E2*E5+G2*G5</f>
        <v>206.08</v>
      </c>
      <c r="D5" s="1">
        <v>-74.81</v>
      </c>
      <c r="E5" s="1">
        <v>-241.8</v>
      </c>
      <c r="F5" s="1">
        <v>-110.53</v>
      </c>
      <c r="G5" s="1">
        <v>0</v>
      </c>
      <c r="O5" s="2">
        <v>900</v>
      </c>
      <c r="P5" s="2">
        <v>1.19</v>
      </c>
      <c r="Q5" s="2">
        <f t="shared" si="0"/>
        <v>1.2952159794372873</v>
      </c>
      <c r="R5" s="2">
        <v>1.223750924184746</v>
      </c>
      <c r="S5" s="2">
        <v>1.23</v>
      </c>
      <c r="U5" s="2">
        <f t="shared" si="1"/>
        <v>0.17395330712343798</v>
      </c>
      <c r="V5" s="2">
        <f t="shared" si="2"/>
        <v>7.554696139253074E-2</v>
      </c>
    </row>
    <row r="6" spans="1:22" ht="13.2" x14ac:dyDescent="0.15">
      <c r="A6" s="1" t="s">
        <v>192</v>
      </c>
      <c r="B6" s="1" t="s">
        <v>193</v>
      </c>
      <c r="C6" s="1">
        <f>D2*D6+E2*E6+F2*F6+G2*G6</f>
        <v>214.63199999999998</v>
      </c>
      <c r="D6" s="1">
        <v>186.26</v>
      </c>
      <c r="E6" s="1">
        <v>188.83</v>
      </c>
      <c r="F6" s="1">
        <v>197.67</v>
      </c>
      <c r="G6" s="1">
        <v>130.684</v>
      </c>
      <c r="O6" s="2">
        <v>1000</v>
      </c>
      <c r="P6" s="2">
        <v>23.8</v>
      </c>
      <c r="Q6" s="2">
        <f t="shared" si="0"/>
        <v>25.953592720359872</v>
      </c>
      <c r="R6" s="2">
        <v>24.623953270220841</v>
      </c>
      <c r="S6" s="2">
        <v>24.7</v>
      </c>
      <c r="U6" s="2">
        <f t="shared" si="1"/>
        <v>3.1696855806774291</v>
      </c>
      <c r="V6" s="2">
        <f t="shared" si="2"/>
        <v>1.3765769570565121</v>
      </c>
    </row>
    <row r="7" spans="1:22" ht="13.2" x14ac:dyDescent="0.15">
      <c r="A7" s="1" t="s">
        <v>194</v>
      </c>
      <c r="B7" s="1" t="s">
        <v>195</v>
      </c>
      <c r="C7" s="4">
        <f>D7*D$2+E7*E$2+F7*F$2+G7*G$2</f>
        <v>63.36</v>
      </c>
      <c r="D7" s="1">
        <v>19.89</v>
      </c>
      <c r="E7" s="1">
        <v>32.24</v>
      </c>
      <c r="F7" s="1">
        <v>28.16</v>
      </c>
      <c r="G7" s="1">
        <v>29.11</v>
      </c>
      <c r="O7" s="2">
        <v>1100</v>
      </c>
      <c r="P7" s="2">
        <v>278</v>
      </c>
      <c r="Q7" s="2">
        <f t="shared" si="0"/>
        <v>305.16836559930238</v>
      </c>
      <c r="R7" s="2">
        <v>290.80112165235079</v>
      </c>
      <c r="S7" s="2">
        <v>292</v>
      </c>
      <c r="U7" s="2">
        <f t="shared" si="1"/>
        <v>5.6276211136906369</v>
      </c>
      <c r="V7" s="2">
        <f t="shared" si="2"/>
        <v>2.4440447959180762</v>
      </c>
    </row>
    <row r="8" spans="1:22" ht="13.2" x14ac:dyDescent="0.15">
      <c r="A8" s="1" t="s">
        <v>196</v>
      </c>
      <c r="B8" s="1" t="s">
        <v>8</v>
      </c>
      <c r="C8" s="4">
        <f>D8*D$2+E8*E$2+F8*F$2+G8*G$2</f>
        <v>-5.8360000000000009E-2</v>
      </c>
      <c r="D8" s="4">
        <v>5.0200000000000002E-2</v>
      </c>
      <c r="E8" s="4">
        <v>1.9199999999999998E-2</v>
      </c>
      <c r="F8" s="4">
        <v>1.6799999999999999E-2</v>
      </c>
      <c r="G8" s="4">
        <v>-1.92E-3</v>
      </c>
      <c r="O8" s="2">
        <v>1200</v>
      </c>
      <c r="P8" s="2">
        <v>2168</v>
      </c>
      <c r="Q8" s="2">
        <f t="shared" si="0"/>
        <v>2395.6929127331446</v>
      </c>
      <c r="R8" s="2">
        <v>2293.0840954849455</v>
      </c>
      <c r="S8" s="2">
        <v>2290</v>
      </c>
      <c r="U8" s="2">
        <f t="shared" si="1"/>
        <v>7.6815603625595372</v>
      </c>
      <c r="V8" s="2">
        <f t="shared" si="2"/>
        <v>3.3360592778663491</v>
      </c>
    </row>
    <row r="9" spans="1:22" ht="13.2" x14ac:dyDescent="0.15">
      <c r="A9" s="1"/>
      <c r="B9" s="1" t="s">
        <v>197</v>
      </c>
      <c r="C9" s="4">
        <f>D9*D$2+E9*E$2+F9*F$2+G9*G$2</f>
        <v>-5.9299999999999991E-6</v>
      </c>
      <c r="D9" s="4">
        <v>1.27E-5</v>
      </c>
      <c r="E9" s="4">
        <v>1.06E-5</v>
      </c>
      <c r="F9" s="4">
        <v>5.3700000000000003E-6</v>
      </c>
      <c r="G9" s="4">
        <v>3.9999999999999998E-6</v>
      </c>
      <c r="O9" s="2">
        <v>1300</v>
      </c>
      <c r="P9" s="2">
        <v>12332</v>
      </c>
      <c r="Q9" s="2">
        <f t="shared" si="0"/>
        <v>13743.934179248816</v>
      </c>
      <c r="R9" s="2">
        <v>13213.34782718156</v>
      </c>
      <c r="S9" s="2">
        <v>13400</v>
      </c>
      <c r="U9" s="2">
        <f t="shared" si="1"/>
        <v>9.4199527890060413</v>
      </c>
      <c r="V9" s="2">
        <f t="shared" si="2"/>
        <v>4.0910335160544706</v>
      </c>
    </row>
    <row r="10" spans="1:22" ht="13.2" x14ac:dyDescent="0.15">
      <c r="A10" s="1"/>
      <c r="B10" s="1" t="s">
        <v>198</v>
      </c>
      <c r="C10" s="4">
        <f>D10*D$2+E10*E$2+F10*F$2+G10*G$2</f>
        <v>9.6799999999999997E-9</v>
      </c>
      <c r="D10" s="4">
        <v>-1.0999999999999999E-8</v>
      </c>
      <c r="E10" s="4">
        <v>-3.5100000000000001E-9</v>
      </c>
      <c r="F10" s="4">
        <v>-2.2200000000000002E-9</v>
      </c>
      <c r="G10" s="4">
        <v>-8.6999999999999999E-10</v>
      </c>
      <c r="O10" s="2">
        <v>1400</v>
      </c>
      <c r="P10" s="2">
        <v>54673</v>
      </c>
      <c r="Q10" s="2">
        <f t="shared" si="0"/>
        <v>61505.03929503214</v>
      </c>
      <c r="R10" s="2">
        <v>59381.658214651863</v>
      </c>
      <c r="S10" s="2">
        <v>58900</v>
      </c>
      <c r="U10" s="2">
        <f t="shared" si="1"/>
        <v>10.909125265086246</v>
      </c>
      <c r="V10" s="2">
        <f t="shared" si="2"/>
        <v>4.7377729050183062</v>
      </c>
    </row>
    <row r="11" spans="1:22" ht="13.2" x14ac:dyDescent="0.15">
      <c r="A11" s="1"/>
      <c r="B11" s="1" t="s">
        <v>199</v>
      </c>
      <c r="C11" s="1">
        <f>C7*(C4-C3)+(C8/2)*(C4^2-C3^2)+(C9/3)*(C4^3-C3^3)+(C10/4)*(C4^4-C3^4)</f>
        <v>19306.144542469163</v>
      </c>
      <c r="D11" s="1"/>
      <c r="E11" s="1"/>
      <c r="F11" s="1"/>
      <c r="G11" s="1"/>
      <c r="O11" s="2">
        <v>1500</v>
      </c>
      <c r="P11" s="2">
        <v>198360</v>
      </c>
      <c r="Q11" s="2">
        <f t="shared" si="0"/>
        <v>225335.17585949428</v>
      </c>
      <c r="R11" s="2">
        <v>218417.42828358794</v>
      </c>
      <c r="S11" s="2">
        <v>216000</v>
      </c>
      <c r="U11" s="2">
        <f t="shared" si="1"/>
        <v>12.197838840603071</v>
      </c>
      <c r="V11" s="2">
        <f t="shared" si="2"/>
        <v>5.2974540996190722</v>
      </c>
    </row>
    <row r="12" spans="1:22" ht="13.2" x14ac:dyDescent="0.15">
      <c r="A12" s="1"/>
      <c r="B12" s="1" t="s">
        <v>12</v>
      </c>
      <c r="C12" s="1">
        <f>C7*LN(C4/C3)+C8*(C4-C3)+(C9/2)*(C4^2-C3^2)+(C10/3)*(C4^3-C3^3)</f>
        <v>37.058553644035108</v>
      </c>
      <c r="D12" s="1"/>
      <c r="E12" s="1"/>
      <c r="F12" s="1"/>
      <c r="G12" s="1"/>
      <c r="S12" s="22" t="s">
        <v>200</v>
      </c>
    </row>
    <row r="13" spans="1:22" ht="13.2" x14ac:dyDescent="0.15">
      <c r="A13" s="1" t="s">
        <v>201</v>
      </c>
      <c r="B13" s="1" t="s">
        <v>191</v>
      </c>
      <c r="C13" s="1">
        <f>C5+C11/1000</f>
        <v>225.38614454246917</v>
      </c>
      <c r="D13" s="1"/>
      <c r="E13" s="1"/>
      <c r="F13" s="1"/>
      <c r="G13" s="1"/>
    </row>
    <row r="14" spans="1:22" ht="13.2" x14ac:dyDescent="0.15">
      <c r="A14" s="1" t="s">
        <v>202</v>
      </c>
      <c r="B14" s="1" t="s">
        <v>154</v>
      </c>
      <c r="C14" s="1">
        <f>C6+C12</f>
        <v>251.69055364403508</v>
      </c>
      <c r="D14" s="1"/>
      <c r="E14" s="1"/>
      <c r="F14" s="1"/>
      <c r="G14" s="1"/>
      <c r="I14" s="3"/>
      <c r="J14" s="3"/>
      <c r="K14" s="3"/>
    </row>
    <row r="15" spans="1:22" ht="13.2" x14ac:dyDescent="0.15">
      <c r="A15" s="1" t="s">
        <v>203</v>
      </c>
      <c r="B15" s="1" t="s">
        <v>4</v>
      </c>
      <c r="C15" s="1">
        <f>C13-C4*C14/1000</f>
        <v>-69.84687488198395</v>
      </c>
      <c r="D15" s="1"/>
      <c r="E15" s="1"/>
      <c r="F15" s="1"/>
      <c r="G15" s="1"/>
      <c r="I15" s="3"/>
      <c r="J15" s="3"/>
      <c r="K15" s="3"/>
    </row>
    <row r="16" spans="1:22" ht="13.2" x14ac:dyDescent="0.15">
      <c r="A16" s="1" t="s">
        <v>204</v>
      </c>
      <c r="B16" s="1" t="s">
        <v>5</v>
      </c>
      <c r="C16" s="1">
        <v>8.3145000000000007</v>
      </c>
      <c r="D16" s="1"/>
      <c r="E16" s="1"/>
      <c r="F16" s="1"/>
      <c r="G16" s="1"/>
      <c r="K16" s="3"/>
    </row>
    <row r="17" spans="1:15" ht="13.2" x14ac:dyDescent="0.15">
      <c r="A17" s="1" t="s">
        <v>205</v>
      </c>
      <c r="B17" s="1"/>
      <c r="C17" s="1">
        <f>-1*C15*1000/C16/C4</f>
        <v>7.1616456651863345</v>
      </c>
      <c r="D17" s="1"/>
      <c r="E17" s="1"/>
      <c r="F17" s="1"/>
      <c r="G17" s="1"/>
      <c r="K17" s="3"/>
    </row>
    <row r="18" spans="1:15" ht="13.2" x14ac:dyDescent="0.15">
      <c r="A18" s="1" t="s">
        <v>52</v>
      </c>
      <c r="B18" s="1"/>
      <c r="C18" s="1">
        <f>EXP(C17)</f>
        <v>1289.0305009974322</v>
      </c>
      <c r="D18" s="1"/>
      <c r="E18" s="1"/>
      <c r="F18" s="1"/>
      <c r="G18" s="1"/>
    </row>
    <row r="19" spans="1:15" ht="13.2" x14ac:dyDescent="0.15">
      <c r="A19" s="1"/>
      <c r="B19" s="1"/>
      <c r="C19" s="1"/>
      <c r="D19" s="1"/>
      <c r="E19" s="1"/>
      <c r="F19" s="1"/>
      <c r="G19" s="1"/>
    </row>
    <row r="20" spans="1:15" ht="13.2" x14ac:dyDescent="0.15">
      <c r="A20" s="1" t="s">
        <v>156</v>
      </c>
      <c r="B20" s="1"/>
      <c r="C20" s="1"/>
      <c r="D20" s="1"/>
      <c r="E20" s="1"/>
      <c r="F20" s="1"/>
    </row>
    <row r="21" spans="1:15" ht="13.8" thickBot="1" x14ac:dyDescent="0.2">
      <c r="A21" s="1" t="s">
        <v>27</v>
      </c>
      <c r="B21" s="1" t="s">
        <v>157</v>
      </c>
      <c r="C21" s="1"/>
      <c r="D21" s="1">
        <v>1</v>
      </c>
      <c r="E21" s="1">
        <v>1</v>
      </c>
      <c r="F21" s="1"/>
    </row>
    <row r="22" spans="1:15" ht="13.8" thickBot="1" x14ac:dyDescent="0.2">
      <c r="A22" s="1" t="s">
        <v>159</v>
      </c>
      <c r="B22" s="1"/>
      <c r="C22" s="5">
        <v>0.7616881334490716</v>
      </c>
      <c r="D22" s="1"/>
      <c r="E22" s="1"/>
      <c r="F22" s="1"/>
    </row>
    <row r="23" spans="1:15" ht="13.2" x14ac:dyDescent="0.15">
      <c r="A23" s="1" t="s">
        <v>59</v>
      </c>
      <c r="B23" s="1" t="s">
        <v>161</v>
      </c>
      <c r="C23" s="1">
        <f>SUM(D23:G23)</f>
        <v>3.523376266898143</v>
      </c>
      <c r="D23" s="1">
        <f>D21*(1-$C$22)</f>
        <v>0.2383118665509284</v>
      </c>
      <c r="E23" s="1">
        <f>E21*(1-$C$22)</f>
        <v>0.2383118665509284</v>
      </c>
      <c r="F23" s="1">
        <f>F2*C22</f>
        <v>0.7616881334490716</v>
      </c>
      <c r="G23" s="1">
        <f>G2*C22</f>
        <v>2.2850644003472147</v>
      </c>
    </row>
    <row r="24" spans="1:15" ht="13.8" thickBot="1" x14ac:dyDescent="0.2">
      <c r="A24" s="1" t="s">
        <v>30</v>
      </c>
      <c r="B24" s="1"/>
      <c r="C24" s="1"/>
      <c r="D24" s="1">
        <f>D23/$C$23</f>
        <v>6.7637359310684639E-2</v>
      </c>
      <c r="E24" s="1">
        <f>E23/$C$23</f>
        <v>6.7637359310684639E-2</v>
      </c>
      <c r="F24" s="1">
        <f>F23/$C$23</f>
        <v>0.2161813203446577</v>
      </c>
      <c r="G24" s="1">
        <f>G23/$C$23</f>
        <v>0.64854396103397305</v>
      </c>
    </row>
    <row r="25" spans="1:15" ht="13.8" thickBot="1" x14ac:dyDescent="0.2">
      <c r="A25" s="1" t="s">
        <v>56</v>
      </c>
      <c r="B25" s="1" t="s">
        <v>206</v>
      </c>
      <c r="C25" s="5">
        <v>1</v>
      </c>
      <c r="D25" s="1"/>
      <c r="E25" s="1"/>
      <c r="F25" s="1"/>
    </row>
    <row r="26" spans="1:15" ht="13.2" x14ac:dyDescent="0.15">
      <c r="A26" s="1" t="s">
        <v>32</v>
      </c>
      <c r="B26" s="1" t="s">
        <v>207</v>
      </c>
      <c r="C26" s="1"/>
      <c r="D26" s="1">
        <f>$C$25*D24</f>
        <v>6.7637359310684639E-2</v>
      </c>
      <c r="E26" s="1">
        <f>$C$25*E24</f>
        <v>6.7637359310684639E-2</v>
      </c>
      <c r="F26" s="1">
        <f>$C$25*F24</f>
        <v>0.2161813203446577</v>
      </c>
      <c r="G26" s="1">
        <f>$C$25*G24</f>
        <v>0.64854396103397305</v>
      </c>
    </row>
    <row r="27" spans="1:15" ht="13.2" x14ac:dyDescent="0.15">
      <c r="A27" s="1" t="s">
        <v>57</v>
      </c>
      <c r="B27" s="1" t="s">
        <v>208</v>
      </c>
      <c r="C27" s="1">
        <v>0.1</v>
      </c>
      <c r="D27" s="1"/>
      <c r="E27" s="1"/>
      <c r="F27" s="1"/>
    </row>
    <row r="28" spans="1:15" ht="13.2" x14ac:dyDescent="0.15">
      <c r="A28" s="1" t="s">
        <v>33</v>
      </c>
      <c r="B28" s="1"/>
      <c r="C28" s="1">
        <f>(F26/C27)^(F2)*(D26/C27)^D2*(E26/C27)^E2*(G26/C27)^G2/C18-1</f>
        <v>-1.3064763459968987E-7</v>
      </c>
      <c r="D28" s="1"/>
      <c r="E28" s="1"/>
      <c r="F28" s="1"/>
    </row>
    <row r="29" spans="1:15" ht="13.2" x14ac:dyDescent="0.15">
      <c r="A29" s="1"/>
      <c r="B29" s="1"/>
      <c r="C29" s="1"/>
      <c r="D29" s="1"/>
      <c r="E29" s="1"/>
      <c r="F29" s="1"/>
      <c r="G29" s="1"/>
      <c r="H29" s="1"/>
    </row>
    <row r="30" spans="1:15" ht="13.2" x14ac:dyDescent="0.15">
      <c r="A30" s="1"/>
      <c r="B30" s="1"/>
      <c r="C30" s="1"/>
      <c r="D30" s="1"/>
      <c r="E30" s="1"/>
      <c r="F30" s="1"/>
      <c r="G30" s="1"/>
      <c r="H30" s="1"/>
    </row>
    <row r="31" spans="1:15" ht="13.2" x14ac:dyDescent="0.15">
      <c r="A31" s="1"/>
      <c r="B31" s="1"/>
      <c r="C31" s="1"/>
      <c r="D31" s="1"/>
      <c r="E31" s="1"/>
      <c r="F31" s="1"/>
      <c r="G31" s="1"/>
      <c r="H31" s="1"/>
    </row>
    <row r="32" spans="1:15" ht="13.2" x14ac:dyDescent="0.15">
      <c r="A32" s="1"/>
      <c r="B32" s="1"/>
      <c r="C32" s="1"/>
      <c r="D32" s="1"/>
      <c r="E32" s="1"/>
      <c r="F32" s="1"/>
      <c r="G32" s="1"/>
      <c r="H32" s="1"/>
      <c r="O32" s="2" t="s">
        <v>209</v>
      </c>
    </row>
    <row r="33" spans="1:17" ht="13.2" x14ac:dyDescent="0.15">
      <c r="A33" s="1"/>
      <c r="B33" s="1"/>
      <c r="C33" s="1"/>
      <c r="D33" s="1"/>
      <c r="E33" s="1"/>
      <c r="F33" s="1"/>
      <c r="G33" s="1"/>
      <c r="H33" s="1"/>
      <c r="P33" s="2" t="s">
        <v>210</v>
      </c>
      <c r="Q33" s="2" t="s">
        <v>211</v>
      </c>
    </row>
    <row r="34" spans="1:17" ht="13.2" x14ac:dyDescent="0.15">
      <c r="A34" s="1"/>
      <c r="B34" s="1"/>
      <c r="C34" s="1"/>
      <c r="D34" s="1"/>
      <c r="E34" s="1"/>
      <c r="F34" s="1"/>
      <c r="G34" s="1"/>
      <c r="H34" s="1"/>
      <c r="O34" s="2" t="s">
        <v>212</v>
      </c>
    </row>
    <row r="35" spans="1:17" ht="13.2" x14ac:dyDescent="0.15">
      <c r="A35" s="1"/>
      <c r="B35" s="1"/>
      <c r="C35" s="1"/>
      <c r="D35" s="1"/>
      <c r="E35" s="1"/>
      <c r="F35" s="1"/>
      <c r="G35" s="1"/>
      <c r="H35" s="1"/>
      <c r="O35" s="2">
        <v>500</v>
      </c>
      <c r="P35" s="2">
        <v>6.1797266982500001E-2</v>
      </c>
      <c r="Q35" s="2">
        <v>0.193076359615</v>
      </c>
    </row>
    <row r="36" spans="1:17" ht="13.2" x14ac:dyDescent="0.15">
      <c r="A36" s="1"/>
      <c r="B36" s="1"/>
      <c r="C36" s="1"/>
      <c r="D36" s="1"/>
      <c r="E36" s="1"/>
      <c r="F36" s="1"/>
      <c r="G36" s="1"/>
      <c r="H36" s="1"/>
      <c r="O36" s="2">
        <v>550</v>
      </c>
      <c r="P36" s="2">
        <v>0.10448066025199999</v>
      </c>
      <c r="Q36" s="2">
        <v>0.31597028640699998</v>
      </c>
    </row>
    <row r="37" spans="1:17" ht="13.2" x14ac:dyDescent="0.15">
      <c r="A37" s="1"/>
      <c r="B37" s="1"/>
      <c r="C37" s="1"/>
      <c r="D37" s="1"/>
      <c r="E37" s="1"/>
      <c r="F37" s="1"/>
      <c r="G37" s="1"/>
      <c r="H37" s="1"/>
      <c r="O37" s="2">
        <v>600</v>
      </c>
      <c r="P37" s="2">
        <v>0.16511334630999999</v>
      </c>
      <c r="Q37" s="2">
        <v>0.46817284338699999</v>
      </c>
    </row>
    <row r="38" spans="1:17" ht="13.2" x14ac:dyDescent="0.15">
      <c r="A38" s="1"/>
      <c r="B38" s="1"/>
      <c r="C38" s="1"/>
      <c r="D38" s="1"/>
      <c r="E38" s="1"/>
      <c r="F38" s="1"/>
      <c r="G38" s="1"/>
      <c r="H38" s="1"/>
      <c r="O38" s="2">
        <v>650</v>
      </c>
      <c r="P38" s="2">
        <v>0.246483199111</v>
      </c>
      <c r="Q38" s="2">
        <v>0.62799795750099996</v>
      </c>
    </row>
    <row r="39" spans="1:17" ht="13.2" x14ac:dyDescent="0.15">
      <c r="A39" s="1"/>
      <c r="B39" s="1"/>
      <c r="C39" s="1"/>
      <c r="D39" s="1"/>
      <c r="E39" s="1">
        <f>900+273</f>
        <v>1173</v>
      </c>
      <c r="F39" s="1"/>
      <c r="G39" s="1"/>
      <c r="H39" s="1"/>
      <c r="O39" s="2">
        <v>700</v>
      </c>
      <c r="P39" s="2">
        <v>0.34781017582700002</v>
      </c>
      <c r="Q39" s="2">
        <v>0.76251244092799997</v>
      </c>
    </row>
    <row r="40" spans="1:17" ht="13.2" x14ac:dyDescent="0.15">
      <c r="A40" s="1"/>
      <c r="B40" s="1"/>
      <c r="C40" s="1"/>
      <c r="D40" s="1"/>
      <c r="E40" s="1"/>
      <c r="F40" s="1"/>
      <c r="G40" s="1"/>
      <c r="H40" s="1"/>
      <c r="O40" s="2">
        <v>750</v>
      </c>
      <c r="P40" s="2">
        <v>0.46238701717199998</v>
      </c>
      <c r="Q40" s="2">
        <v>0.85543649555900003</v>
      </c>
    </row>
    <row r="41" spans="1:17" ht="13.2" x14ac:dyDescent="0.15">
      <c r="A41" s="1" t="s">
        <v>39</v>
      </c>
      <c r="B41" s="1"/>
      <c r="C41" s="1"/>
      <c r="D41" s="1"/>
      <c r="E41" s="1"/>
      <c r="F41" s="1"/>
      <c r="G41" s="1"/>
      <c r="H41" s="1"/>
      <c r="O41" s="2">
        <v>800</v>
      </c>
      <c r="P41" s="2">
        <v>0.57901280427799995</v>
      </c>
      <c r="Q41" s="2">
        <v>0.91385458534899999</v>
      </c>
    </row>
    <row r="42" spans="1:17" ht="13.2" x14ac:dyDescent="0.15">
      <c r="A42" s="1" t="s">
        <v>40</v>
      </c>
      <c r="B42" s="1" t="s">
        <v>213</v>
      </c>
      <c r="C42" s="1" t="s">
        <v>214</v>
      </c>
      <c r="D42" s="1"/>
      <c r="E42" s="1"/>
      <c r="F42" s="1"/>
      <c r="G42" s="1"/>
      <c r="H42" s="1"/>
      <c r="O42" s="2">
        <v>850</v>
      </c>
      <c r="P42" s="2">
        <v>0.68554312612400004</v>
      </c>
      <c r="Q42" s="2">
        <v>0.94797877823700005</v>
      </c>
    </row>
    <row r="43" spans="1:17" ht="13.2" x14ac:dyDescent="0.15">
      <c r="A43" s="1">
        <v>500</v>
      </c>
      <c r="B43" s="1">
        <v>0.189</v>
      </c>
      <c r="C43" s="1">
        <v>6.0999999999999999E-2</v>
      </c>
      <c r="D43" s="1"/>
      <c r="E43" s="1"/>
      <c r="F43" s="1"/>
      <c r="G43" s="1"/>
      <c r="H43" s="1"/>
      <c r="O43" s="2">
        <v>900</v>
      </c>
      <c r="P43" s="2">
        <v>0.77321968461000001</v>
      </c>
      <c r="Q43" s="2">
        <v>0.96803784009399996</v>
      </c>
    </row>
    <row r="44" spans="1:17" ht="13.2" x14ac:dyDescent="0.15">
      <c r="A44" s="1">
        <v>600</v>
      </c>
      <c r="B44" s="1">
        <v>0.46</v>
      </c>
      <c r="C44" s="1">
        <v>0.16200000000000001</v>
      </c>
      <c r="D44" s="1"/>
      <c r="E44" s="1"/>
      <c r="F44" s="1"/>
      <c r="G44" s="1"/>
      <c r="H44" s="1"/>
      <c r="O44" s="2">
        <v>950</v>
      </c>
      <c r="P44" s="2">
        <v>0.83974535018499996</v>
      </c>
      <c r="Q44" s="2">
        <v>0.979759986794</v>
      </c>
    </row>
    <row r="45" spans="1:17" ht="13.2" x14ac:dyDescent="0.15">
      <c r="A45" s="1">
        <v>700</v>
      </c>
      <c r="B45" s="1">
        <v>0.753</v>
      </c>
      <c r="C45" s="1">
        <v>0.34</v>
      </c>
      <c r="D45" s="1"/>
      <c r="E45" s="1"/>
      <c r="F45" s="1"/>
      <c r="G45" s="1"/>
      <c r="H45" s="1"/>
      <c r="O45" s="2">
        <v>1000</v>
      </c>
      <c r="P45" s="2">
        <v>0.88705102399299995</v>
      </c>
      <c r="Q45" s="2">
        <v>0.98678710185499996</v>
      </c>
    </row>
    <row r="46" spans="1:17" ht="13.2" x14ac:dyDescent="0.15">
      <c r="A46" s="1">
        <v>800</v>
      </c>
      <c r="B46" s="1">
        <v>0.90900000000000003</v>
      </c>
      <c r="C46" s="1">
        <v>0.56999999999999995</v>
      </c>
      <c r="D46" s="1"/>
      <c r="E46" s="1"/>
      <c r="F46" s="1"/>
      <c r="G46" s="1"/>
      <c r="H46" s="1"/>
    </row>
    <row r="47" spans="1:17" ht="13.2" x14ac:dyDescent="0.15">
      <c r="A47" s="1">
        <v>900</v>
      </c>
      <c r="B47" s="1">
        <v>0.96599999999999997</v>
      </c>
      <c r="C47" s="1">
        <v>0.76400000000000001</v>
      </c>
      <c r="D47" s="1"/>
      <c r="E47" s="1"/>
      <c r="F47" s="1"/>
      <c r="G47" s="1"/>
      <c r="H47" s="1"/>
    </row>
    <row r="48" spans="1:17" ht="13.2" x14ac:dyDescent="0.15">
      <c r="A48" s="1">
        <v>1000</v>
      </c>
      <c r="B48" s="1">
        <v>0.98599999999999999</v>
      </c>
      <c r="C48" s="1">
        <v>0.88</v>
      </c>
      <c r="D48" s="1"/>
      <c r="E48" s="1"/>
      <c r="F48" s="1"/>
      <c r="G48" s="1"/>
      <c r="H48" s="1"/>
    </row>
    <row r="49" spans="1:8" ht="13.2" x14ac:dyDescent="0.15">
      <c r="A49" s="1"/>
      <c r="B49" s="1"/>
      <c r="C49" s="1"/>
      <c r="D49" s="1"/>
      <c r="E49" s="1"/>
      <c r="F49" s="1"/>
      <c r="G49" s="1"/>
      <c r="H49" s="1"/>
    </row>
    <row r="50" spans="1:8" ht="13.2" x14ac:dyDescent="0.15">
      <c r="A50" s="1"/>
      <c r="B50" s="1"/>
      <c r="C50" s="1"/>
      <c r="D50" s="1"/>
      <c r="E50" s="1"/>
      <c r="F50" s="1"/>
      <c r="G50" s="1"/>
      <c r="H50" s="1"/>
    </row>
    <row r="51" spans="1:8" ht="13.2" x14ac:dyDescent="0.15">
      <c r="A51" s="1"/>
      <c r="B51" s="1"/>
      <c r="C51" s="1"/>
      <c r="D51" s="1"/>
      <c r="E51" s="1"/>
      <c r="F51" s="1"/>
      <c r="G51" s="1"/>
      <c r="H51" s="1"/>
    </row>
  </sheetData>
  <phoneticPr fontId="1"/>
  <hyperlinks>
    <hyperlink ref="S12" r:id="rId1"/>
  </hyperlinks>
  <pageMargins left="0.75" right="0.75" top="1" bottom="1" header="0.51200000000000001" footer="0.51200000000000001"/>
  <pageSetup paperSize="9" orientation="portrait" verticalDpi="0" r:id="rId2"/>
  <headerFooter alignWithMargins="0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75"/>
  <sheetViews>
    <sheetView topLeftCell="A13" zoomScale="117" zoomScaleNormal="117" workbookViewId="0">
      <selection activeCell="O43" sqref="O43"/>
    </sheetView>
  </sheetViews>
  <sheetFormatPr defaultColWidth="9.28515625" defaultRowHeight="13.2" x14ac:dyDescent="0.15"/>
  <cols>
    <col min="1" max="1" width="32" style="1" customWidth="1"/>
    <col min="2" max="2" width="17.140625" style="1" customWidth="1"/>
    <col min="3" max="3" width="12" style="1" customWidth="1"/>
    <col min="4" max="4" width="13.28515625" style="1" customWidth="1"/>
    <col min="5" max="5" width="12.42578125" style="1" customWidth="1"/>
    <col min="6" max="6" width="12.7109375" style="1" customWidth="1"/>
    <col min="7" max="7" width="13.42578125" style="1" customWidth="1"/>
    <col min="8" max="8" width="14.140625" style="1" customWidth="1"/>
    <col min="9" max="9" width="15.140625" style="1" customWidth="1"/>
    <col min="10" max="10" width="10.7109375" style="1" customWidth="1"/>
    <col min="11" max="11" width="13.7109375" style="1" customWidth="1"/>
    <col min="12" max="21" width="9.28515625" style="1"/>
    <col min="22" max="22" width="12" style="1" bestFit="1" customWidth="1"/>
    <col min="23" max="23" width="9.28515625" style="1"/>
    <col min="24" max="24" width="17.42578125" style="1" bestFit="1" customWidth="1"/>
    <col min="25" max="16384" width="9.28515625" style="1"/>
  </cols>
  <sheetData>
    <row r="1" spans="1:8" x14ac:dyDescent="0.15">
      <c r="A1" s="1" t="s">
        <v>14</v>
      </c>
      <c r="C1" s="1" t="s">
        <v>16</v>
      </c>
      <c r="D1" s="1" t="s">
        <v>143</v>
      </c>
      <c r="E1" s="1" t="s">
        <v>18</v>
      </c>
      <c r="F1" s="1" t="s">
        <v>144</v>
      </c>
    </row>
    <row r="2" spans="1:8" x14ac:dyDescent="0.15">
      <c r="A2" s="1" t="s">
        <v>0</v>
      </c>
      <c r="D2" s="1">
        <v>-1</v>
      </c>
      <c r="E2" s="1">
        <v>-2</v>
      </c>
      <c r="F2" s="1">
        <v>1</v>
      </c>
    </row>
    <row r="3" spans="1:8" ht="13.8" thickBot="1" x14ac:dyDescent="0.2">
      <c r="A3" s="1" t="s">
        <v>73</v>
      </c>
      <c r="B3" s="1" t="s">
        <v>145</v>
      </c>
      <c r="C3" s="1">
        <v>298</v>
      </c>
    </row>
    <row r="4" spans="1:8" ht="13.8" thickBot="1" x14ac:dyDescent="0.2">
      <c r="A4" s="1" t="s">
        <v>3</v>
      </c>
      <c r="B4" s="1" t="s">
        <v>21</v>
      </c>
      <c r="C4" s="5">
        <v>423.15</v>
      </c>
    </row>
    <row r="5" spans="1:8" x14ac:dyDescent="0.15">
      <c r="A5" s="1" t="s">
        <v>47</v>
      </c>
      <c r="B5" s="1" t="s">
        <v>146</v>
      </c>
      <c r="C5" s="1">
        <f>F2*F5+E2*E5+D2*D5</f>
        <v>-90.700000000000017</v>
      </c>
      <c r="D5" s="1">
        <v>-110.6</v>
      </c>
      <c r="E5" s="1">
        <v>0</v>
      </c>
      <c r="F5" s="1">
        <v>-201.3</v>
      </c>
    </row>
    <row r="6" spans="1:8" x14ac:dyDescent="0.15">
      <c r="A6" s="1" t="s">
        <v>147</v>
      </c>
      <c r="B6" s="1" t="s">
        <v>5</v>
      </c>
      <c r="C6" s="1">
        <f>F2*F6+E2*E6+D2*D6</f>
        <v>-219.02799999999999</v>
      </c>
      <c r="D6" s="1">
        <v>197.56</v>
      </c>
      <c r="E6" s="1">
        <v>130.684</v>
      </c>
      <c r="F6" s="20">
        <v>239.9</v>
      </c>
      <c r="G6" s="1" t="s">
        <v>148</v>
      </c>
    </row>
    <row r="7" spans="1:8" x14ac:dyDescent="0.15">
      <c r="A7" s="1" t="s">
        <v>46</v>
      </c>
      <c r="B7" s="1" t="s">
        <v>6</v>
      </c>
      <c r="C7" s="1">
        <f>D7*D$2+E7*E$2+F7*F$2</f>
        <v>-65.227275999999989</v>
      </c>
      <c r="D7" s="1">
        <v>28.16</v>
      </c>
      <c r="E7" s="1">
        <v>29.11</v>
      </c>
      <c r="F7" s="1">
        <v>21.152723999999999</v>
      </c>
      <c r="G7" s="21"/>
    </row>
    <row r="8" spans="1:8" x14ac:dyDescent="0.15">
      <c r="A8" s="1" t="s">
        <v>149</v>
      </c>
      <c r="B8" s="1" t="s">
        <v>8</v>
      </c>
      <c r="C8" s="1">
        <f>D8*D$2+E8*E$2+F8*F$2</f>
        <v>5.796778000000001E-2</v>
      </c>
      <c r="D8" s="4">
        <v>1.6799999999999999E-2</v>
      </c>
      <c r="E8" s="4">
        <v>-1.92E-3</v>
      </c>
      <c r="F8" s="1">
        <v>7.092778000000001E-2</v>
      </c>
    </row>
    <row r="9" spans="1:8" x14ac:dyDescent="0.15">
      <c r="B9" s="1" t="s">
        <v>9</v>
      </c>
      <c r="C9" s="1">
        <f>D9*D$2+E9*E$2+F9*F$2</f>
        <v>1.2501473000000002E-5</v>
      </c>
      <c r="D9" s="4">
        <v>5.3700000000000003E-6</v>
      </c>
      <c r="E9" s="4">
        <v>3.9999999999999998E-6</v>
      </c>
      <c r="F9" s="1">
        <v>2.5871473000000001E-5</v>
      </c>
    </row>
    <row r="10" spans="1:8" x14ac:dyDescent="0.15">
      <c r="B10" s="1" t="s">
        <v>10</v>
      </c>
      <c r="C10" s="1">
        <f>D10*D$2+E10*E$2+F10*F$2</f>
        <v>-2.4557657000000004E-8</v>
      </c>
      <c r="D10" s="4">
        <v>-2.2200000000000002E-9</v>
      </c>
      <c r="E10" s="4">
        <v>-8.6999999999999999E-10</v>
      </c>
      <c r="F10" s="1">
        <v>-2.8517657000000004E-8</v>
      </c>
      <c r="G10"/>
    </row>
    <row r="11" spans="1:8" x14ac:dyDescent="0.15">
      <c r="B11" s="1" t="s">
        <v>150</v>
      </c>
      <c r="C11" s="1">
        <f>C7*(C4-C3)+(C8/2)*(C4^2-C3^2)+(C9/3)*(C4^3-C3^3)+(C10/4)*(C4^4-C3^4)</f>
        <v>-5490.3041420362188</v>
      </c>
    </row>
    <row r="12" spans="1:8" x14ac:dyDescent="0.15">
      <c r="B12" s="1" t="s">
        <v>151</v>
      </c>
      <c r="C12" s="1">
        <f>C7*LN(C4/C3)+C8*(C4-C3)+(C9/2)*(C4^2-C3^2)+(C10/3)*(C4^3-C3^3)</f>
        <v>-15.455638706880013</v>
      </c>
    </row>
    <row r="13" spans="1:8" x14ac:dyDescent="0.15">
      <c r="A13" s="1" t="s">
        <v>49</v>
      </c>
      <c r="B13" s="1" t="s">
        <v>152</v>
      </c>
      <c r="C13" s="1">
        <f>C5+C11/1000</f>
        <v>-96.19030414203624</v>
      </c>
      <c r="H13"/>
    </row>
    <row r="14" spans="1:8" x14ac:dyDescent="0.15">
      <c r="A14" s="1" t="s">
        <v>153</v>
      </c>
      <c r="B14" s="1" t="s">
        <v>154</v>
      </c>
      <c r="C14" s="1">
        <f>C6+C12</f>
        <v>-234.48363870688001</v>
      </c>
    </row>
    <row r="15" spans="1:8" x14ac:dyDescent="0.15">
      <c r="A15" s="1" t="s">
        <v>155</v>
      </c>
      <c r="B15" s="1" t="s">
        <v>4</v>
      </c>
      <c r="C15" s="1">
        <f>C13-C4*C14/1000</f>
        <v>3.0314475767800388</v>
      </c>
      <c r="H15"/>
    </row>
    <row r="16" spans="1:8" x14ac:dyDescent="0.15">
      <c r="A16" s="1" t="s">
        <v>13</v>
      </c>
      <c r="B16" s="1" t="s">
        <v>5</v>
      </c>
      <c r="C16" s="1">
        <v>8.3145000000000007</v>
      </c>
    </row>
    <row r="17" spans="1:19" x14ac:dyDescent="0.15">
      <c r="A17" s="1" t="s">
        <v>22</v>
      </c>
      <c r="C17" s="1">
        <f>-1*C15*1000/C16/C4</f>
        <v>-0.86162755527741919</v>
      </c>
      <c r="H17"/>
    </row>
    <row r="18" spans="1:19" x14ac:dyDescent="0.15">
      <c r="A18" s="1" t="s">
        <v>52</v>
      </c>
      <c r="C18" s="1">
        <f>EXP(C17)</f>
        <v>0.42247392279820528</v>
      </c>
    </row>
    <row r="19" spans="1:19" x14ac:dyDescent="0.15">
      <c r="H19"/>
    </row>
    <row r="20" spans="1:19" x14ac:dyDescent="0.15">
      <c r="A20" s="1" t="s">
        <v>156</v>
      </c>
    </row>
    <row r="21" spans="1:19" ht="13.8" thickBot="1" x14ac:dyDescent="0.2">
      <c r="A21" s="1" t="s">
        <v>27</v>
      </c>
      <c r="B21" s="1" t="s">
        <v>157</v>
      </c>
      <c r="D21" s="1">
        <v>1</v>
      </c>
      <c r="E21" s="1">
        <v>2</v>
      </c>
      <c r="F21" s="1">
        <v>0</v>
      </c>
      <c r="P21" s="1" t="s">
        <v>158</v>
      </c>
    </row>
    <row r="22" spans="1:19" ht="13.8" thickBot="1" x14ac:dyDescent="0.2">
      <c r="A22" s="1" t="s">
        <v>159</v>
      </c>
      <c r="C22" s="5">
        <v>0.97484939486025135</v>
      </c>
      <c r="P22" s="1" t="s">
        <v>160</v>
      </c>
    </row>
    <row r="23" spans="1:19" x14ac:dyDescent="0.15">
      <c r="A23" s="1" t="s">
        <v>59</v>
      </c>
      <c r="B23" s="1" t="s">
        <v>161</v>
      </c>
      <c r="C23" s="1">
        <f>SUM(D23:F23)</f>
        <v>1.0503012102794973</v>
      </c>
      <c r="D23" s="1">
        <f>D21*(1-$C$22)</f>
        <v>2.515060513974865E-2</v>
      </c>
      <c r="E23" s="1">
        <f>E21*(1-$C$22)</f>
        <v>5.0301210279497299E-2</v>
      </c>
      <c r="F23" s="1">
        <f>F2*C22</f>
        <v>0.97484939486025135</v>
      </c>
      <c r="P23" s="1" t="s">
        <v>162</v>
      </c>
      <c r="Q23" s="1" t="s">
        <v>163</v>
      </c>
      <c r="R23" s="1" t="s">
        <v>164</v>
      </c>
      <c r="S23" s="1" t="s">
        <v>165</v>
      </c>
    </row>
    <row r="24" spans="1:19" ht="13.8" thickBot="1" x14ac:dyDescent="0.2">
      <c r="A24" s="1" t="s">
        <v>30</v>
      </c>
      <c r="D24" s="1">
        <f>D23/$C$23</f>
        <v>2.3946087935151274E-2</v>
      </c>
      <c r="E24" s="1">
        <f>E23/$C$23</f>
        <v>4.7892175870302547E-2</v>
      </c>
      <c r="F24" s="1">
        <f>F23/$C$23</f>
        <v>0.92816173619454623</v>
      </c>
      <c r="P24" s="1" t="s">
        <v>166</v>
      </c>
    </row>
    <row r="25" spans="1:19" ht="13.8" thickBot="1" x14ac:dyDescent="0.2">
      <c r="A25" s="1" t="s">
        <v>56</v>
      </c>
      <c r="B25" s="1" t="s">
        <v>31</v>
      </c>
      <c r="C25" s="5">
        <v>20</v>
      </c>
      <c r="P25" s="1">
        <v>100</v>
      </c>
      <c r="Q25" s="1">
        <v>0.94940853835799999</v>
      </c>
      <c r="R25" s="1">
        <v>0.99989460186699997</v>
      </c>
      <c r="S25" s="1">
        <v>0.99990573822899997</v>
      </c>
    </row>
    <row r="26" spans="1:19" x14ac:dyDescent="0.15">
      <c r="A26" s="1" t="s">
        <v>32</v>
      </c>
      <c r="B26" s="1" t="s">
        <v>31</v>
      </c>
      <c r="D26" s="1">
        <f>$C$25*D24</f>
        <v>0.47892175870302545</v>
      </c>
      <c r="E26" s="1">
        <f>$C$25*E24</f>
        <v>0.95784351740605089</v>
      </c>
      <c r="F26" s="1">
        <f>$C$25*F24</f>
        <v>18.563234723890925</v>
      </c>
      <c r="P26" s="1">
        <v>125</v>
      </c>
      <c r="Q26" s="1">
        <v>0.89537775554200005</v>
      </c>
      <c r="R26" s="1">
        <v>0.99968053025299997</v>
      </c>
      <c r="S26" s="1">
        <v>0.99971388771699998</v>
      </c>
    </row>
    <row r="27" spans="1:19" x14ac:dyDescent="0.15">
      <c r="A27" s="1" t="s">
        <v>57</v>
      </c>
      <c r="B27" s="1" t="s">
        <v>167</v>
      </c>
      <c r="C27" s="1">
        <v>0.1</v>
      </c>
      <c r="P27" s="1">
        <v>150</v>
      </c>
      <c r="Q27" s="1">
        <v>0.79712658115500001</v>
      </c>
      <c r="R27" s="1">
        <v>0.999113835309</v>
      </c>
      <c r="S27" s="1">
        <v>0.99921889535200004</v>
      </c>
    </row>
    <row r="28" spans="1:19" x14ac:dyDescent="0.15">
      <c r="A28" s="1" t="s">
        <v>58</v>
      </c>
      <c r="C28" s="12">
        <f>((F26/C27)^(F2)*(D26/C27)^(D2)*(E26/C27)^(E2))/C18-1</f>
        <v>1.1877335337473482E-7</v>
      </c>
      <c r="H28"/>
      <c r="P28" s="1">
        <v>175</v>
      </c>
      <c r="Q28" s="1">
        <v>0.63286757843100006</v>
      </c>
      <c r="R28" s="1">
        <v>0.99769871103999996</v>
      </c>
      <c r="S28" s="1">
        <v>0.99803661577299996</v>
      </c>
    </row>
    <row r="29" spans="1:19" x14ac:dyDescent="0.15">
      <c r="P29" s="1">
        <v>200</v>
      </c>
      <c r="Q29" s="1">
        <v>0.408776735296</v>
      </c>
      <c r="R29" s="1">
        <v>0.99405030615800005</v>
      </c>
      <c r="S29" s="1">
        <v>0.99532901978400001</v>
      </c>
    </row>
    <row r="30" spans="1:19" x14ac:dyDescent="0.15">
      <c r="P30" s="1">
        <v>225</v>
      </c>
      <c r="Q30" s="1">
        <v>0.202038734975</v>
      </c>
      <c r="R30" s="1">
        <v>0.90910376453999997</v>
      </c>
      <c r="S30" s="1">
        <v>0.98894355830799996</v>
      </c>
    </row>
    <row r="31" spans="1:19" x14ac:dyDescent="0.15">
      <c r="P31" s="1">
        <v>250</v>
      </c>
      <c r="Q31" s="1">
        <v>8.2510717569299993E-2</v>
      </c>
      <c r="R31" s="1">
        <v>0.80110750850500001</v>
      </c>
      <c r="S31" s="1">
        <v>0.97027543652399995</v>
      </c>
    </row>
    <row r="32" spans="1:19" x14ac:dyDescent="0.15">
      <c r="P32" s="1">
        <v>275</v>
      </c>
      <c r="Q32" s="1">
        <v>3.2004003974299998E-2</v>
      </c>
      <c r="R32" s="1">
        <v>0.66096769633899999</v>
      </c>
      <c r="S32" s="1">
        <v>0.88870410945099998</v>
      </c>
    </row>
    <row r="33" spans="1:19" x14ac:dyDescent="0.15">
      <c r="P33" s="1">
        <v>300</v>
      </c>
      <c r="Q33" s="1">
        <v>1.27696148739E-2</v>
      </c>
      <c r="R33" s="1">
        <v>0.49158871644000002</v>
      </c>
      <c r="S33" s="1">
        <v>0.76686615388599999</v>
      </c>
    </row>
    <row r="34" spans="1:19" x14ac:dyDescent="0.15">
      <c r="P34" s="1">
        <v>325</v>
      </c>
      <c r="R34" s="1">
        <v>0.32212588886900001</v>
      </c>
      <c r="S34" s="1">
        <v>0.61919031470599994</v>
      </c>
    </row>
    <row r="35" spans="1:19" x14ac:dyDescent="0.15">
      <c r="P35" s="1">
        <v>350</v>
      </c>
      <c r="R35" s="1">
        <v>0.189076128102</v>
      </c>
      <c r="S35" s="1">
        <v>0.45654598144800002</v>
      </c>
    </row>
    <row r="36" spans="1:19" x14ac:dyDescent="0.15">
      <c r="P36" s="1">
        <v>375</v>
      </c>
      <c r="R36" s="1">
        <v>0.10336523922099999</v>
      </c>
      <c r="S36" s="1">
        <v>0.305307102256</v>
      </c>
    </row>
    <row r="37" spans="1:19" x14ac:dyDescent="0.15">
      <c r="A37" s="1" t="s">
        <v>34</v>
      </c>
      <c r="B37" s="1" t="s">
        <v>168</v>
      </c>
      <c r="C37" s="1">
        <f>C38+273.15</f>
        <v>423.15</v>
      </c>
      <c r="D37" s="1" t="s">
        <v>169</v>
      </c>
      <c r="E37" s="1">
        <f>E38+273.15</f>
        <v>523.15</v>
      </c>
      <c r="F37" s="1" t="s">
        <v>170</v>
      </c>
      <c r="G37" s="1">
        <f>G38+273.15</f>
        <v>623.15</v>
      </c>
      <c r="H37" s="1" t="s">
        <v>171</v>
      </c>
      <c r="I37" s="1">
        <f>430-273</f>
        <v>157</v>
      </c>
      <c r="P37" s="1">
        <v>400</v>
      </c>
      <c r="R37" s="1">
        <v>5.5299938862100002E-2</v>
      </c>
      <c r="S37" s="1">
        <v>0.18922022754199999</v>
      </c>
    </row>
    <row r="38" spans="1:19" x14ac:dyDescent="0.15">
      <c r="A38" s="1" t="s">
        <v>35</v>
      </c>
      <c r="B38" s="1" t="s">
        <v>172</v>
      </c>
      <c r="C38" s="1">
        <v>150</v>
      </c>
      <c r="D38" s="1" t="s">
        <v>173</v>
      </c>
      <c r="E38" s="1">
        <v>250</v>
      </c>
      <c r="F38" s="1" t="s">
        <v>174</v>
      </c>
      <c r="G38" s="1">
        <v>350</v>
      </c>
      <c r="H38" s="1" t="s">
        <v>175</v>
      </c>
    </row>
    <row r="39" spans="1:19" x14ac:dyDescent="0.15">
      <c r="A39" s="1">
        <v>0.1</v>
      </c>
      <c r="B39" s="1">
        <v>0.69499999999999995</v>
      </c>
      <c r="D39" s="1">
        <v>0.01</v>
      </c>
      <c r="F39" s="1">
        <v>1E-4</v>
      </c>
    </row>
    <row r="40" spans="1:19" x14ac:dyDescent="0.15">
      <c r="A40" s="1">
        <v>1</v>
      </c>
      <c r="B40" s="1">
        <v>0.94299999999999995</v>
      </c>
      <c r="C40" s="1">
        <v>0.78800000000000003</v>
      </c>
      <c r="D40" s="1">
        <v>0.40489999999999998</v>
      </c>
      <c r="E40" s="1">
        <v>7.9600000000000004E-2</v>
      </c>
      <c r="F40" s="1">
        <v>1.1955E-2</v>
      </c>
      <c r="H40" s="1">
        <v>4.8899999999999996E-4</v>
      </c>
    </row>
    <row r="41" spans="1:19" x14ac:dyDescent="0.15">
      <c r="A41" s="1">
        <v>10</v>
      </c>
      <c r="B41" s="1">
        <v>0.98</v>
      </c>
      <c r="C41" s="1">
        <v>0.95899999999999996</v>
      </c>
      <c r="D41" s="1">
        <v>0.88</v>
      </c>
      <c r="E41" s="1">
        <v>0.72299999999999998</v>
      </c>
      <c r="F41" s="1">
        <v>0.43</v>
      </c>
      <c r="G41" s="1">
        <v>0.16</v>
      </c>
      <c r="H41" s="1">
        <v>4.4999999999999998E-2</v>
      </c>
    </row>
    <row r="42" spans="1:19" x14ac:dyDescent="0.15">
      <c r="A42" s="1">
        <v>20</v>
      </c>
      <c r="B42" s="1">
        <v>0.99</v>
      </c>
      <c r="C42" s="1">
        <v>0.97499999999999998</v>
      </c>
      <c r="D42" s="1">
        <v>0.93</v>
      </c>
      <c r="E42" s="1">
        <v>0.83499999999999996</v>
      </c>
      <c r="F42" s="1">
        <v>0.65</v>
      </c>
      <c r="G42" s="1">
        <v>0.375</v>
      </c>
      <c r="H42" s="1">
        <v>0.14899999999999999</v>
      </c>
    </row>
    <row r="43" spans="1:19" x14ac:dyDescent="0.15">
      <c r="B43" s="1">
        <v>100</v>
      </c>
      <c r="C43" s="1">
        <v>150</v>
      </c>
      <c r="D43" s="1">
        <v>200</v>
      </c>
      <c r="E43" s="1">
        <v>250</v>
      </c>
      <c r="F43" s="1">
        <v>300</v>
      </c>
      <c r="G43" s="1">
        <v>350</v>
      </c>
      <c r="H43" s="1">
        <v>400</v>
      </c>
    </row>
    <row r="45" spans="1:19" x14ac:dyDescent="0.15">
      <c r="A45" s="1" t="s">
        <v>176</v>
      </c>
      <c r="B45" s="1" t="s">
        <v>21</v>
      </c>
      <c r="C45" s="1" t="s">
        <v>41</v>
      </c>
      <c r="D45" s="1" t="s">
        <v>42</v>
      </c>
      <c r="E45" s="1" t="s">
        <v>177</v>
      </c>
    </row>
    <row r="46" spans="1:19" x14ac:dyDescent="0.15">
      <c r="A46" s="1">
        <v>300</v>
      </c>
      <c r="B46" s="1">
        <v>22452</v>
      </c>
      <c r="C46" s="1">
        <f>1/A46</f>
        <v>3.3333333333333335E-3</v>
      </c>
      <c r="D46" s="1">
        <f>LN(B46)</f>
        <v>10.019134976062089</v>
      </c>
      <c r="E46" s="1">
        <f>LOG(B46)</f>
        <v>4.351255033547635</v>
      </c>
    </row>
    <row r="47" spans="1:19" x14ac:dyDescent="0.15">
      <c r="A47" s="1">
        <v>400</v>
      </c>
      <c r="B47" s="1">
        <v>2.04</v>
      </c>
      <c r="C47" s="1">
        <f t="shared" ref="C47:C53" si="0">1/A47</f>
        <v>2.5000000000000001E-3</v>
      </c>
      <c r="D47" s="1">
        <f t="shared" ref="D47:D53" si="1">LN(B47)</f>
        <v>0.71294980785612505</v>
      </c>
      <c r="E47" s="1">
        <f t="shared" ref="E47:E53" si="2">LOG(B47)</f>
        <v>0.30963016742589877</v>
      </c>
    </row>
    <row r="48" spans="1:19" x14ac:dyDescent="0.15">
      <c r="A48" s="1">
        <v>500</v>
      </c>
      <c r="B48" s="1">
        <v>5.94E-3</v>
      </c>
      <c r="C48" s="1">
        <f t="shared" si="0"/>
        <v>2E-3</v>
      </c>
      <c r="D48" s="1">
        <f t="shared" si="1"/>
        <v>-5.1260461456075834</v>
      </c>
      <c r="E48" s="1">
        <f t="shared" si="2"/>
        <v>-2.2262135550188065</v>
      </c>
    </row>
    <row r="49" spans="1:6" x14ac:dyDescent="0.15">
      <c r="A49" s="1">
        <v>600</v>
      </c>
      <c r="B49" s="1">
        <v>1.05E-4</v>
      </c>
      <c r="C49" s="1">
        <f t="shared" si="0"/>
        <v>1.6666666666666668E-3</v>
      </c>
      <c r="D49" s="1">
        <f t="shared" si="1"/>
        <v>-9.1615502078067514</v>
      </c>
      <c r="E49" s="1">
        <f t="shared" si="2"/>
        <v>-3.9788107009300617</v>
      </c>
    </row>
    <row r="50" spans="1:6" x14ac:dyDescent="0.15">
      <c r="A50" s="1">
        <v>700</v>
      </c>
      <c r="B50" s="4">
        <v>5.3399999999999997E-6</v>
      </c>
      <c r="C50" s="1">
        <f t="shared" si="0"/>
        <v>1.4285714285714286E-3</v>
      </c>
      <c r="D50" s="1">
        <f t="shared" si="1"/>
        <v>-12.140284904992171</v>
      </c>
      <c r="E50" s="1">
        <f t="shared" si="2"/>
        <v>-5.2724587429714438</v>
      </c>
    </row>
    <row r="51" spans="1:6" x14ac:dyDescent="0.15">
      <c r="A51" s="1">
        <v>800</v>
      </c>
      <c r="B51" s="4">
        <v>5.4099999999999999E-7</v>
      </c>
      <c r="C51" s="1">
        <f t="shared" si="0"/>
        <v>1.25E-3</v>
      </c>
      <c r="D51" s="1">
        <f t="shared" si="1"/>
        <v>-14.42984655809993</v>
      </c>
      <c r="E51" s="1">
        <f t="shared" si="2"/>
        <v>-6.2668027348934308</v>
      </c>
    </row>
    <row r="52" spans="1:6" x14ac:dyDescent="0.15">
      <c r="A52" s="1">
        <v>900</v>
      </c>
      <c r="B52" s="4">
        <v>8.7600000000000004E-8</v>
      </c>
      <c r="C52" s="1">
        <f t="shared" si="0"/>
        <v>1.1111111111111111E-3</v>
      </c>
      <c r="D52" s="1">
        <f t="shared" si="1"/>
        <v>-16.250484839004066</v>
      </c>
      <c r="E52" s="1">
        <f t="shared" si="2"/>
        <v>-7.057495893831919</v>
      </c>
    </row>
    <row r="53" spans="1:6" x14ac:dyDescent="0.15">
      <c r="A53" s="1">
        <v>1000</v>
      </c>
      <c r="B53" s="4">
        <v>1.9799999999999999E-8</v>
      </c>
      <c r="C53" s="1">
        <f t="shared" si="0"/>
        <v>1E-3</v>
      </c>
      <c r="D53" s="1">
        <f t="shared" si="1"/>
        <v>-17.737583899245923</v>
      </c>
      <c r="E53" s="1">
        <f t="shared" si="2"/>
        <v>-7.7033348097384691</v>
      </c>
    </row>
    <row r="57" spans="1:6" x14ac:dyDescent="0.15">
      <c r="A57" s="7" t="s">
        <v>83</v>
      </c>
      <c r="C57" s="1" t="s">
        <v>178</v>
      </c>
      <c r="E57" s="1" t="s">
        <v>179</v>
      </c>
    </row>
    <row r="58" spans="1:6" x14ac:dyDescent="0.15">
      <c r="A58" s="1" t="s">
        <v>176</v>
      </c>
      <c r="B58" s="1" t="s">
        <v>180</v>
      </c>
      <c r="C58" s="1" t="s">
        <v>176</v>
      </c>
      <c r="D58" s="1" t="s">
        <v>181</v>
      </c>
      <c r="E58" s="1" t="s">
        <v>182</v>
      </c>
      <c r="F58" s="1" t="s">
        <v>181</v>
      </c>
    </row>
    <row r="59" spans="1:6" x14ac:dyDescent="0.15">
      <c r="A59" s="1">
        <v>473</v>
      </c>
      <c r="B59" s="4">
        <v>2.4E-2</v>
      </c>
      <c r="C59" s="1">
        <v>300</v>
      </c>
      <c r="D59" s="1">
        <f>EXP(9.7)</f>
        <v>16317.607198015421</v>
      </c>
      <c r="E59" s="1">
        <v>300</v>
      </c>
      <c r="F59" s="1">
        <f>EXP(-28.8+11812.3/E59+0.0052*LN(E59)-0.000010701*E59)</f>
        <v>40166.263353456656</v>
      </c>
    </row>
    <row r="60" spans="1:6" x14ac:dyDescent="0.15">
      <c r="A60" s="1">
        <v>483</v>
      </c>
      <c r="B60" s="4">
        <v>1.4999999999999999E-2</v>
      </c>
      <c r="C60" s="1">
        <v>400</v>
      </c>
      <c r="D60" s="1">
        <f>EXP(1)</f>
        <v>2.7182818284590451</v>
      </c>
      <c r="E60" s="1">
        <v>400</v>
      </c>
      <c r="F60" s="1">
        <f t="shared" ref="F60:F66" si="3">EXP(-28.8+11812.3/E60+0.0052*LN(E60)-0.000010701*E60)</f>
        <v>2.1332043003235976</v>
      </c>
    </row>
    <row r="61" spans="1:6" x14ac:dyDescent="0.15">
      <c r="A61" s="1">
        <v>493</v>
      </c>
      <c r="B61" s="4">
        <v>9.2499999999999995E-3</v>
      </c>
      <c r="C61" s="1">
        <v>600</v>
      </c>
      <c r="D61" s="1">
        <f>EXP(-8)</f>
        <v>3.3546262790251185E-4</v>
      </c>
      <c r="E61" s="1">
        <v>500</v>
      </c>
      <c r="F61" s="1">
        <f t="shared" si="3"/>
        <v>5.8084905851408858E-3</v>
      </c>
    </row>
    <row r="62" spans="1:6" x14ac:dyDescent="0.15">
      <c r="A62" s="1">
        <v>503</v>
      </c>
      <c r="B62" s="4">
        <v>5.8199999999999997E-3</v>
      </c>
      <c r="C62" s="1">
        <v>800</v>
      </c>
      <c r="D62" s="1">
        <f>EXP(-12.5)</f>
        <v>3.7266531720786709E-6</v>
      </c>
      <c r="E62" s="1">
        <v>600</v>
      </c>
      <c r="F62" s="1">
        <f t="shared" si="3"/>
        <v>1.1324126813592642E-4</v>
      </c>
    </row>
    <row r="63" spans="1:6" x14ac:dyDescent="0.15">
      <c r="A63" s="21" t="s">
        <v>183</v>
      </c>
      <c r="C63" s="1">
        <v>1000</v>
      </c>
      <c r="D63" s="1">
        <f>EXP(-15)</f>
        <v>3.0590232050182579E-7</v>
      </c>
      <c r="E63" s="1">
        <v>700</v>
      </c>
      <c r="F63" s="1">
        <f t="shared" si="3"/>
        <v>6.7991646661350547E-6</v>
      </c>
    </row>
    <row r="64" spans="1:6" x14ac:dyDescent="0.15">
      <c r="E64" s="1">
        <v>800</v>
      </c>
      <c r="F64" s="1">
        <f t="shared" si="3"/>
        <v>8.245518428346197E-7</v>
      </c>
    </row>
    <row r="65" spans="2:6" x14ac:dyDescent="0.15">
      <c r="B65" s="4"/>
      <c r="E65" s="1">
        <v>900</v>
      </c>
      <c r="F65" s="1">
        <f t="shared" si="3"/>
        <v>1.5977797055756422E-7</v>
      </c>
    </row>
    <row r="66" spans="2:6" x14ac:dyDescent="0.15">
      <c r="B66" s="4"/>
      <c r="E66" s="1">
        <v>1000</v>
      </c>
      <c r="F66" s="1">
        <f t="shared" si="3"/>
        <v>4.2982160795709155E-8</v>
      </c>
    </row>
    <row r="75" spans="2:6" x14ac:dyDescent="0.15">
      <c r="B75" s="4"/>
    </row>
  </sheetData>
  <phoneticPr fontId="1"/>
  <hyperlinks>
    <hyperlink ref="A63" r:id="rId1"/>
  </hyperlinks>
  <pageMargins left="0.75" right="0.75" top="1" bottom="1" header="0.51200000000000001" footer="0.51200000000000001"/>
  <pageSetup paperSize="9" orientation="portrait" r:id="rId2"/>
  <headerFooter alignWithMargins="0"/>
  <drawing r:id="rId3"/>
  <legacyDrawing r:id="rId4"/>
  <oleObjects>
    <mc:AlternateContent xmlns:mc="http://schemas.openxmlformats.org/markup-compatibility/2006">
      <mc:Choice Requires="x14">
        <oleObject progId="Equation.3" shapeId="5121" r:id="rId5">
          <objectPr defaultSize="0" autoPict="0" r:id="rId6">
            <anchor moveWithCells="1" sizeWithCells="1">
              <from>
                <xdr:col>4</xdr:col>
                <xdr:colOff>419100</xdr:colOff>
                <xdr:row>0</xdr:row>
                <xdr:rowOff>0</xdr:rowOff>
              </from>
              <to>
                <xdr:col>9</xdr:col>
                <xdr:colOff>601980</xdr:colOff>
                <xdr:row>0</xdr:row>
                <xdr:rowOff>0</xdr:rowOff>
              </to>
            </anchor>
          </objectPr>
        </oleObject>
      </mc:Choice>
      <mc:Fallback>
        <oleObject progId="Equation.3" shapeId="5121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workbookViewId="0">
      <selection activeCell="I35" sqref="I35"/>
    </sheetView>
  </sheetViews>
  <sheetFormatPr defaultRowHeight="9.6" x14ac:dyDescent="0.15"/>
  <cols>
    <col min="1" max="1" width="33" customWidth="1"/>
    <col min="2" max="2" width="14.140625" customWidth="1"/>
    <col min="3" max="3" width="10.140625" customWidth="1"/>
    <col min="4" max="6" width="12.140625" customWidth="1"/>
  </cols>
  <sheetData>
    <row r="1" spans="1:7" ht="13.2" x14ac:dyDescent="0.15">
      <c r="A1" s="1" t="s">
        <v>14</v>
      </c>
      <c r="B1" s="1"/>
      <c r="C1" s="1" t="s">
        <v>23</v>
      </c>
      <c r="D1" s="1" t="s">
        <v>24</v>
      </c>
      <c r="E1" s="1" t="s">
        <v>25</v>
      </c>
      <c r="F1" s="1" t="s">
        <v>26</v>
      </c>
      <c r="G1" s="1"/>
    </row>
    <row r="2" spans="1:7" ht="13.2" x14ac:dyDescent="0.15">
      <c r="A2" s="1" t="s">
        <v>0</v>
      </c>
      <c r="B2" s="1"/>
      <c r="C2" s="1"/>
      <c r="D2" s="1">
        <v>1</v>
      </c>
      <c r="E2" s="1">
        <v>0.5</v>
      </c>
      <c r="F2" s="1">
        <v>-1</v>
      </c>
      <c r="G2" s="1"/>
    </row>
    <row r="3" spans="1:7" ht="13.8" thickBot="1" x14ac:dyDescent="0.2">
      <c r="A3" s="1" t="s">
        <v>1</v>
      </c>
      <c r="B3" s="1" t="s">
        <v>2</v>
      </c>
      <c r="C3" s="1">
        <v>298</v>
      </c>
      <c r="D3" s="1"/>
      <c r="E3" s="1"/>
      <c r="F3" s="1"/>
      <c r="G3" s="1"/>
    </row>
    <row r="4" spans="1:7" ht="13.8" thickBot="1" x14ac:dyDescent="0.2">
      <c r="A4" s="1" t="s">
        <v>3</v>
      </c>
      <c r="B4" s="1" t="s">
        <v>2</v>
      </c>
      <c r="C4" s="5">
        <v>2773</v>
      </c>
      <c r="D4" s="1"/>
      <c r="E4" s="1"/>
      <c r="F4" s="1"/>
      <c r="G4" s="1"/>
    </row>
    <row r="5" spans="1:7" ht="13.2" x14ac:dyDescent="0.15">
      <c r="A5" s="1" t="s">
        <v>47</v>
      </c>
      <c r="B5" s="1" t="s">
        <v>4</v>
      </c>
      <c r="C5" s="1">
        <f>F2*F5+E2*E5+D2*D5</f>
        <v>241.8</v>
      </c>
      <c r="D5" s="1">
        <v>0</v>
      </c>
      <c r="E5" s="1">
        <v>0</v>
      </c>
      <c r="F5" s="1">
        <v>-241.8</v>
      </c>
      <c r="G5" s="1"/>
    </row>
    <row r="6" spans="1:7" ht="13.2" x14ac:dyDescent="0.15">
      <c r="A6" s="1" t="s">
        <v>48</v>
      </c>
      <c r="B6" s="1" t="s">
        <v>5</v>
      </c>
      <c r="C6" s="1">
        <f>F2*F6+E2*E6+D2*D6</f>
        <v>44.422999999999988</v>
      </c>
      <c r="D6" s="1">
        <v>130.684</v>
      </c>
      <c r="E6" s="1">
        <v>205.13800000000001</v>
      </c>
      <c r="F6" s="1">
        <v>188.83</v>
      </c>
      <c r="G6" s="1"/>
    </row>
    <row r="7" spans="1:7" ht="13.2" x14ac:dyDescent="0.15">
      <c r="A7" s="1" t="s">
        <v>46</v>
      </c>
      <c r="B7" s="1" t="s">
        <v>6</v>
      </c>
      <c r="C7" s="1">
        <f>D7*D$2+E7*E$2+F7*F$2</f>
        <v>9.6084999999999994</v>
      </c>
      <c r="D7" s="1">
        <v>29.11</v>
      </c>
      <c r="E7" s="1">
        <v>25.477</v>
      </c>
      <c r="F7" s="1">
        <v>32.24</v>
      </c>
      <c r="G7" s="1"/>
    </row>
    <row r="8" spans="1:7" ht="13.2" x14ac:dyDescent="0.15">
      <c r="A8" s="1" t="s">
        <v>7</v>
      </c>
      <c r="B8" s="1" t="s">
        <v>8</v>
      </c>
      <c r="C8" s="1">
        <f>D8*D$2+E8*E$2+F8*F$2</f>
        <v>-1.3519999999999997E-2</v>
      </c>
      <c r="D8" s="4">
        <v>-1.92E-3</v>
      </c>
      <c r="E8" s="4">
        <v>1.52E-2</v>
      </c>
      <c r="F8" s="4">
        <v>1.9199999999999998E-2</v>
      </c>
      <c r="G8" s="1"/>
    </row>
    <row r="9" spans="1:7" ht="13.2" x14ac:dyDescent="0.15">
      <c r="A9" s="1"/>
      <c r="B9" s="1" t="s">
        <v>9</v>
      </c>
      <c r="C9" s="1">
        <f>D9*D$2+E9*E$2+F9*F$2</f>
        <v>-1.03E-5</v>
      </c>
      <c r="D9" s="4">
        <v>3.9999999999999998E-6</v>
      </c>
      <c r="E9" s="4">
        <v>-7.4000000000000003E-6</v>
      </c>
      <c r="F9" s="4">
        <v>1.06E-5</v>
      </c>
      <c r="G9" s="1"/>
    </row>
    <row r="10" spans="1:7" ht="13.2" x14ac:dyDescent="0.15">
      <c r="A10" s="1"/>
      <c r="B10" s="1" t="s">
        <v>10</v>
      </c>
      <c r="C10" s="1">
        <f>D10*D$2+E10*E$2+F10*F$2</f>
        <v>3.2949999999999999E-9</v>
      </c>
      <c r="D10" s="4">
        <v>-8.6999999999999999E-10</v>
      </c>
      <c r="E10" s="4">
        <v>1.31E-9</v>
      </c>
      <c r="F10" s="4">
        <v>-3.5100000000000001E-9</v>
      </c>
      <c r="G10" s="1"/>
    </row>
    <row r="11" spans="1:7" ht="13.2" x14ac:dyDescent="0.15">
      <c r="A11" s="1"/>
      <c r="B11" s="1" t="s">
        <v>11</v>
      </c>
      <c r="C11" s="1">
        <f>C7*(C4-C3)+(C8/2)*(C4^2-C3^2)+(C9/3)*(C4^3-C3^3)+(C10/4)*(C4^4-C3^4)</f>
        <v>-52017.292169688648</v>
      </c>
      <c r="D11" s="1"/>
      <c r="E11" s="1"/>
      <c r="F11" s="1"/>
      <c r="G11" s="1"/>
    </row>
    <row r="12" spans="1:7" ht="13.2" x14ac:dyDescent="0.15">
      <c r="A12" s="1"/>
      <c r="B12" s="1" t="s">
        <v>12</v>
      </c>
      <c r="C12" s="1">
        <f>C7*LN(C4/C3)+C8*(C4-C3)+(C9/2)*(C4^2-C3^2)+(C10/3)*(C4^3-C3^3)</f>
        <v>-27.782328730662972</v>
      </c>
      <c r="D12" s="1"/>
      <c r="E12" s="1"/>
      <c r="F12" s="1"/>
      <c r="G12" s="1"/>
    </row>
    <row r="13" spans="1:7" ht="13.2" x14ac:dyDescent="0.15">
      <c r="A13" s="1" t="s">
        <v>49</v>
      </c>
      <c r="B13" s="1" t="s">
        <v>4</v>
      </c>
      <c r="C13" s="1">
        <f>C5+C11/1000</f>
        <v>189.78270783031138</v>
      </c>
      <c r="D13" s="1"/>
      <c r="E13" s="1"/>
      <c r="F13" s="1"/>
      <c r="G13" s="1"/>
    </row>
    <row r="14" spans="1:7" ht="13.2" x14ac:dyDescent="0.15">
      <c r="A14" s="1" t="s">
        <v>50</v>
      </c>
      <c r="B14" s="1" t="s">
        <v>5</v>
      </c>
      <c r="C14" s="1">
        <f>C6+C12</f>
        <v>16.640671269337016</v>
      </c>
      <c r="D14" s="1"/>
      <c r="E14" s="1"/>
      <c r="F14" s="1"/>
      <c r="G14" s="1"/>
    </row>
    <row r="15" spans="1:7" ht="13.2" x14ac:dyDescent="0.15">
      <c r="A15" s="1" t="s">
        <v>51</v>
      </c>
      <c r="B15" s="1" t="s">
        <v>4</v>
      </c>
      <c r="C15" s="1">
        <f>C13-C4*C14/1000</f>
        <v>143.63812640043983</v>
      </c>
      <c r="D15" s="1"/>
      <c r="E15" s="1"/>
      <c r="F15" s="1"/>
      <c r="G15" s="1"/>
    </row>
    <row r="16" spans="1:7" ht="13.2" x14ac:dyDescent="0.15">
      <c r="A16" s="1" t="s">
        <v>13</v>
      </c>
      <c r="B16" s="1" t="s">
        <v>5</v>
      </c>
      <c r="C16" s="1">
        <v>8.3145000000000007</v>
      </c>
      <c r="D16" s="1"/>
      <c r="E16" s="1"/>
      <c r="F16" s="1"/>
      <c r="G16" s="1"/>
    </row>
    <row r="17" spans="1:7" ht="13.2" x14ac:dyDescent="0.15">
      <c r="A17" s="1" t="s">
        <v>22</v>
      </c>
      <c r="B17" s="1"/>
      <c r="C17" s="1">
        <f>-1*C15*1000/C16/C4</f>
        <v>-6.2299379967109276</v>
      </c>
      <c r="D17" s="1"/>
      <c r="E17" s="1"/>
      <c r="F17" s="1"/>
      <c r="G17" s="1"/>
    </row>
    <row r="18" spans="1:7" ht="13.2" x14ac:dyDescent="0.15">
      <c r="A18" s="1" t="s">
        <v>52</v>
      </c>
      <c r="B18" s="1"/>
      <c r="C18" s="1">
        <f>EXP(C17)</f>
        <v>1.9695740129207304E-3</v>
      </c>
      <c r="D18" s="1"/>
      <c r="E18" s="1"/>
      <c r="F18" s="1"/>
      <c r="G18" s="1"/>
    </row>
    <row r="20" spans="1:7" ht="13.2" x14ac:dyDescent="0.15">
      <c r="A20" s="1" t="s">
        <v>15</v>
      </c>
      <c r="B20" s="1"/>
      <c r="C20" s="1"/>
      <c r="D20" s="1"/>
      <c r="E20" s="1"/>
      <c r="F20" s="1"/>
      <c r="G20" s="2"/>
    </row>
    <row r="21" spans="1:7" ht="13.8" thickBot="1" x14ac:dyDescent="0.2">
      <c r="A21" s="1" t="s">
        <v>27</v>
      </c>
      <c r="B21" s="1" t="s">
        <v>28</v>
      </c>
      <c r="C21" s="1"/>
      <c r="D21" s="1">
        <v>0</v>
      </c>
      <c r="E21" s="1">
        <v>0</v>
      </c>
      <c r="F21" s="1">
        <v>1</v>
      </c>
      <c r="G21" s="2"/>
    </row>
    <row r="22" spans="1:7" ht="13.8" thickBot="1" x14ac:dyDescent="0.2">
      <c r="A22" s="1" t="s">
        <v>29</v>
      </c>
      <c r="B22" s="1"/>
      <c r="C22" s="5">
        <v>1.9598201401878193E-2</v>
      </c>
      <c r="D22" s="1"/>
      <c r="E22" s="1"/>
      <c r="F22" s="1"/>
      <c r="G22" s="2"/>
    </row>
    <row r="23" spans="1:7" ht="13.2" x14ac:dyDescent="0.15">
      <c r="A23" s="1" t="s">
        <v>59</v>
      </c>
      <c r="B23" s="1" t="s">
        <v>28</v>
      </c>
      <c r="C23" s="1">
        <f>SUM(D23:G23)</f>
        <v>1.009799100700939</v>
      </c>
      <c r="D23" s="1">
        <f>C22*D2</f>
        <v>1.9598201401878193E-2</v>
      </c>
      <c r="E23" s="1">
        <f>C22*E2</f>
        <v>9.7991007009390965E-3</v>
      </c>
      <c r="F23" s="1">
        <f>(F21+F2*C22)</f>
        <v>0.98040179859812182</v>
      </c>
      <c r="G23" s="1"/>
    </row>
    <row r="24" spans="1:7" ht="13.8" thickBot="1" x14ac:dyDescent="0.2">
      <c r="A24" s="1" t="s">
        <v>30</v>
      </c>
      <c r="B24" s="1"/>
      <c r="C24" s="1"/>
      <c r="D24" s="1">
        <f>D23/$C$23</f>
        <v>1.9408020256974239E-2</v>
      </c>
      <c r="E24" s="1">
        <f>E23/$C$23</f>
        <v>9.7040101284871193E-3</v>
      </c>
      <c r="F24" s="1">
        <f>F23/$C$23</f>
        <v>0.97088796961453872</v>
      </c>
      <c r="G24" s="1"/>
    </row>
    <row r="25" spans="1:7" ht="13.8" thickBot="1" x14ac:dyDescent="0.2">
      <c r="A25" s="1" t="s">
        <v>56</v>
      </c>
      <c r="B25" s="1" t="s">
        <v>31</v>
      </c>
      <c r="C25" s="5">
        <v>0.1</v>
      </c>
      <c r="D25" s="1"/>
      <c r="E25" s="1"/>
      <c r="F25" s="1"/>
      <c r="G25" s="2"/>
    </row>
    <row r="26" spans="1:7" ht="13.2" x14ac:dyDescent="0.15">
      <c r="A26" s="1" t="s">
        <v>32</v>
      </c>
      <c r="B26" s="1" t="s">
        <v>31</v>
      </c>
      <c r="C26" s="1"/>
      <c r="D26" s="1">
        <f>$C$25*D24</f>
        <v>1.9408020256974239E-3</v>
      </c>
      <c r="E26" s="1">
        <f>$C$25*E24</f>
        <v>9.7040101284871197E-4</v>
      </c>
      <c r="F26" s="1">
        <f>$C$25*F24</f>
        <v>9.708879696145388E-2</v>
      </c>
      <c r="G26" s="1"/>
    </row>
    <row r="27" spans="1:7" ht="13.2" x14ac:dyDescent="0.15">
      <c r="A27" s="1" t="s">
        <v>57</v>
      </c>
      <c r="B27" s="1" t="s">
        <v>31</v>
      </c>
      <c r="C27" s="1">
        <v>0.1</v>
      </c>
      <c r="D27" s="1"/>
      <c r="E27" s="1"/>
      <c r="F27" s="1"/>
      <c r="G27" s="2"/>
    </row>
    <row r="28" spans="1:7" ht="13.2" x14ac:dyDescent="0.15">
      <c r="A28" s="1" t="s">
        <v>33</v>
      </c>
      <c r="B28" s="1"/>
      <c r="C28" s="1">
        <f>(F26/C27)^(F2)*(D26/C27)^D2*(E26/C27)^E2/C18-1</f>
        <v>-1.9470552238953776E-4</v>
      </c>
      <c r="D28" s="1"/>
      <c r="E28" s="1"/>
      <c r="F28" s="1"/>
      <c r="G28" s="2"/>
    </row>
    <row r="33" spans="1:6" x14ac:dyDescent="0.15">
      <c r="B33" t="s">
        <v>70</v>
      </c>
    </row>
    <row r="34" spans="1:6" x14ac:dyDescent="0.15">
      <c r="A34" t="s">
        <v>60</v>
      </c>
      <c r="C34" t="s">
        <v>61</v>
      </c>
      <c r="D34" t="s">
        <v>62</v>
      </c>
      <c r="E34" t="s">
        <v>63</v>
      </c>
      <c r="F34" t="s">
        <v>64</v>
      </c>
    </row>
    <row r="35" spans="1:6" x14ac:dyDescent="0.15">
      <c r="C35" t="s">
        <v>65</v>
      </c>
      <c r="D35" t="s">
        <v>66</v>
      </c>
      <c r="E35" t="s">
        <v>67</v>
      </c>
      <c r="F35" t="s">
        <v>68</v>
      </c>
    </row>
    <row r="36" spans="1:6" x14ac:dyDescent="0.15">
      <c r="B36" t="s">
        <v>69</v>
      </c>
      <c r="C36">
        <v>1.1E-5</v>
      </c>
      <c r="D36">
        <v>6.4000000000000005E-4</v>
      </c>
      <c r="E36">
        <v>5.4999999999999997E-3</v>
      </c>
      <c r="F36">
        <v>1.9599999999999999E-2</v>
      </c>
    </row>
    <row r="37" spans="1:6" x14ac:dyDescent="0.15">
      <c r="B37" t="s">
        <v>71</v>
      </c>
      <c r="C37">
        <v>2.3E-5</v>
      </c>
      <c r="D37">
        <v>1.3799999999999999E-3</v>
      </c>
      <c r="E37">
        <v>1.191E-2</v>
      </c>
      <c r="F37">
        <v>4.1700000000000001E-2</v>
      </c>
    </row>
    <row r="38" spans="1:6" x14ac:dyDescent="0.15">
      <c r="C38">
        <v>1000</v>
      </c>
      <c r="D38">
        <v>1500</v>
      </c>
      <c r="E38">
        <v>2000</v>
      </c>
      <c r="F38">
        <v>2500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workbookViewId="0">
      <selection activeCell="H13" sqref="H13"/>
    </sheetView>
  </sheetViews>
  <sheetFormatPr defaultRowHeight="9.6" x14ac:dyDescent="0.15"/>
  <cols>
    <col min="1" max="1" width="33" customWidth="1"/>
    <col min="2" max="2" width="14.140625" customWidth="1"/>
    <col min="3" max="3" width="10.140625" customWidth="1"/>
    <col min="4" max="4" width="16.140625" customWidth="1"/>
    <col min="5" max="5" width="13.140625" customWidth="1"/>
    <col min="6" max="6" width="12.140625" customWidth="1"/>
  </cols>
  <sheetData>
    <row r="1" spans="1:16" ht="13.2" x14ac:dyDescent="0.15">
      <c r="A1" s="1" t="s">
        <v>14</v>
      </c>
      <c r="B1" s="1"/>
      <c r="C1" s="1" t="s">
        <v>85</v>
      </c>
      <c r="D1" s="1" t="s">
        <v>86</v>
      </c>
      <c r="E1" s="1" t="s">
        <v>87</v>
      </c>
      <c r="F1" s="1" t="s">
        <v>88</v>
      </c>
      <c r="G1" s="1" t="s">
        <v>89</v>
      </c>
      <c r="N1" t="s">
        <v>119</v>
      </c>
    </row>
    <row r="2" spans="1:16" ht="13.2" x14ac:dyDescent="0.15">
      <c r="A2" s="1" t="s">
        <v>0</v>
      </c>
      <c r="B2" s="1"/>
      <c r="C2" s="1"/>
      <c r="D2" s="1">
        <v>-1</v>
      </c>
      <c r="E2" s="1">
        <v>1</v>
      </c>
      <c r="F2" s="1">
        <v>1</v>
      </c>
      <c r="G2" s="1"/>
    </row>
    <row r="3" spans="1:16" ht="13.8" thickBot="1" x14ac:dyDescent="0.2">
      <c r="A3" s="1" t="s">
        <v>73</v>
      </c>
      <c r="B3" s="1" t="s">
        <v>2</v>
      </c>
      <c r="C3" s="1">
        <v>298</v>
      </c>
      <c r="D3" s="1"/>
      <c r="E3" s="1"/>
      <c r="F3" s="1"/>
      <c r="G3" s="1"/>
      <c r="N3" t="s">
        <v>120</v>
      </c>
      <c r="O3" t="s">
        <v>121</v>
      </c>
      <c r="P3" t="s">
        <v>122</v>
      </c>
    </row>
    <row r="4" spans="1:16" ht="13.8" thickBot="1" x14ac:dyDescent="0.2">
      <c r="A4" s="1" t="s">
        <v>90</v>
      </c>
      <c r="B4" s="1" t="s">
        <v>91</v>
      </c>
      <c r="C4" s="5">
        <v>850</v>
      </c>
      <c r="D4" s="1"/>
      <c r="E4" s="1"/>
      <c r="F4" s="1"/>
      <c r="G4" s="1"/>
      <c r="N4">
        <v>400</v>
      </c>
      <c r="O4" s="10">
        <v>2.8000000000000002E-10</v>
      </c>
      <c r="P4">
        <f t="shared" ref="P4:P9" si="0">LN(O4)</f>
        <v>-21.996231512759298</v>
      </c>
    </row>
    <row r="5" spans="1:16" ht="13.2" x14ac:dyDescent="0.15">
      <c r="A5" s="1" t="s">
        <v>92</v>
      </c>
      <c r="B5" s="1" t="s">
        <v>93</v>
      </c>
      <c r="C5" s="1">
        <f>F2*F5+E2*E5+D2*D5</f>
        <v>124.35</v>
      </c>
      <c r="D5" s="1">
        <v>-103.92</v>
      </c>
      <c r="E5" s="1">
        <v>20.43</v>
      </c>
      <c r="F5" s="1">
        <v>0</v>
      </c>
      <c r="G5" s="1"/>
      <c r="N5">
        <v>600</v>
      </c>
      <c r="O5" s="10">
        <v>9.6000000000000002E-5</v>
      </c>
      <c r="P5">
        <f t="shared" si="0"/>
        <v>-9.2511623664964375</v>
      </c>
    </row>
    <row r="6" spans="1:16" ht="13.2" x14ac:dyDescent="0.15">
      <c r="A6" s="1" t="s">
        <v>48</v>
      </c>
      <c r="B6" s="1" t="s">
        <v>94</v>
      </c>
      <c r="C6" s="1">
        <f>F2*F6+E2*E6+D2*D6</f>
        <v>127.30000000000001</v>
      </c>
      <c r="D6" s="1">
        <v>269.8</v>
      </c>
      <c r="E6" s="1">
        <v>267.10000000000002</v>
      </c>
      <c r="F6" s="1">
        <v>130</v>
      </c>
      <c r="G6" s="1"/>
      <c r="N6">
        <v>800</v>
      </c>
      <c r="O6">
        <v>6.0499999999999998E-2</v>
      </c>
      <c r="P6">
        <f t="shared" si="0"/>
        <v>-2.8051119139453413</v>
      </c>
    </row>
    <row r="7" spans="1:16" ht="13.2" x14ac:dyDescent="0.15">
      <c r="A7" s="1" t="s">
        <v>95</v>
      </c>
      <c r="B7" s="1" t="s">
        <v>96</v>
      </c>
      <c r="C7" s="1">
        <f>D7*D$2+E7*E$2+F7*F$2</f>
        <v>35.078686000000005</v>
      </c>
      <c r="D7" s="1">
        <v>-4.2246829999999997</v>
      </c>
      <c r="E7" s="1">
        <v>3.7096820000000004</v>
      </c>
      <c r="F7" s="1">
        <v>27.144321000000001</v>
      </c>
      <c r="G7" s="1"/>
      <c r="N7">
        <v>1000</v>
      </c>
      <c r="O7">
        <v>2.95</v>
      </c>
      <c r="P7">
        <f t="shared" si="0"/>
        <v>1.0818051703517284</v>
      </c>
    </row>
    <row r="8" spans="1:16" ht="13.2" x14ac:dyDescent="0.15">
      <c r="A8" s="1" t="s">
        <v>7</v>
      </c>
      <c r="B8" s="1" t="s">
        <v>97</v>
      </c>
      <c r="C8" s="1">
        <f>D8*D$2+E8*E$2+F8*F$2</f>
        <v>-6.2449105000000012E-2</v>
      </c>
      <c r="D8" s="4">
        <v>0.30627905000000005</v>
      </c>
      <c r="E8" s="4">
        <v>0.23455574000000004</v>
      </c>
      <c r="F8" s="4">
        <v>9.2742050000000006E-3</v>
      </c>
      <c r="G8" s="1"/>
      <c r="N8">
        <v>1200</v>
      </c>
      <c r="O8">
        <v>39.24</v>
      </c>
      <c r="P8">
        <f t="shared" si="0"/>
        <v>3.6696966346971625</v>
      </c>
    </row>
    <row r="9" spans="1:16" ht="13.2" x14ac:dyDescent="0.15">
      <c r="A9" s="1"/>
      <c r="B9" s="1" t="s">
        <v>98</v>
      </c>
      <c r="C9" s="1">
        <f>D9*D$2+E9*E$2+F9*F$2</f>
        <v>2.8814934000000021E-5</v>
      </c>
      <c r="D9" s="4">
        <v>-1.5864543000000003E-4</v>
      </c>
      <c r="E9" s="4">
        <v>-1.1602177000000001E-4</v>
      </c>
      <c r="F9" s="4">
        <v>-1.3808726000000002E-5</v>
      </c>
      <c r="G9" s="1"/>
      <c r="N9">
        <v>1300</v>
      </c>
      <c r="O9">
        <v>105.4</v>
      </c>
      <c r="P9">
        <f t="shared" si="0"/>
        <v>4.6577626361072619</v>
      </c>
    </row>
    <row r="10" spans="1:16" ht="13.2" x14ac:dyDescent="0.15">
      <c r="A10" s="1"/>
      <c r="B10" s="1" t="s">
        <v>10</v>
      </c>
      <c r="C10" s="1">
        <f>D10*D$2+E10*E$2+F10*F$2</f>
        <v>-2.4535820000000024E-9</v>
      </c>
      <c r="D10" s="4">
        <v>3.2147786000000009E-8</v>
      </c>
      <c r="E10" s="4">
        <v>2.2048742000000005E-8</v>
      </c>
      <c r="F10" s="4">
        <v>7.6454620000000017E-9</v>
      </c>
      <c r="G10" s="1"/>
    </row>
    <row r="11" spans="1:16" ht="13.2" x14ac:dyDescent="0.15">
      <c r="A11" s="1"/>
      <c r="B11" s="1" t="s">
        <v>99</v>
      </c>
      <c r="C11" s="1">
        <f>C7*(C4-C3)+(C8/2)*(C4^2-C3^2)+(C9/3)*(C4^3-C3^3)+(C10/4)*(C4^4-C3^4)</f>
        <v>4905.6765907046502</v>
      </c>
      <c r="D11" s="1"/>
      <c r="E11" s="1"/>
      <c r="F11" s="1"/>
      <c r="G11" s="1"/>
    </row>
    <row r="12" spans="1:16" ht="13.2" x14ac:dyDescent="0.15">
      <c r="A12" s="1"/>
      <c r="B12" s="1" t="s">
        <v>100</v>
      </c>
      <c r="C12" s="1">
        <f>C7*LN(C4/C3)+C8*(C4-C3)+(C9/2)*(C4^2-C3^2)+(C10/3)*(C4^3-C3^3)</f>
        <v>10.944897470690734</v>
      </c>
      <c r="D12" s="1"/>
      <c r="E12" s="1"/>
      <c r="F12" s="1"/>
      <c r="G12" s="1"/>
    </row>
    <row r="13" spans="1:16" ht="13.2" x14ac:dyDescent="0.15">
      <c r="A13" s="1" t="s">
        <v>49</v>
      </c>
      <c r="B13" s="1" t="s">
        <v>101</v>
      </c>
      <c r="C13" s="1">
        <f>C5+C11/1000</f>
        <v>129.25567659070464</v>
      </c>
      <c r="D13" s="1"/>
      <c r="E13" s="1"/>
      <c r="F13" s="1"/>
      <c r="G13" s="1"/>
    </row>
    <row r="14" spans="1:16" ht="13.2" x14ac:dyDescent="0.15">
      <c r="A14" s="1" t="s">
        <v>50</v>
      </c>
      <c r="B14" s="1" t="s">
        <v>5</v>
      </c>
      <c r="C14" s="1">
        <f>C6+C12</f>
        <v>138.24489747069074</v>
      </c>
      <c r="D14" s="1"/>
      <c r="E14" s="1"/>
      <c r="F14" s="1"/>
      <c r="G14" s="1"/>
    </row>
    <row r="15" spans="1:16" ht="13.2" x14ac:dyDescent="0.15">
      <c r="A15" s="1" t="s">
        <v>102</v>
      </c>
      <c r="B15" s="1" t="s">
        <v>93</v>
      </c>
      <c r="C15" s="1">
        <f>C13-C4*C14/1000</f>
        <v>11.747513740617507</v>
      </c>
      <c r="D15" s="1"/>
      <c r="E15" s="1"/>
      <c r="F15" s="1"/>
      <c r="G15" s="1"/>
    </row>
    <row r="16" spans="1:16" ht="13.2" x14ac:dyDescent="0.15">
      <c r="A16" s="1" t="s">
        <v>103</v>
      </c>
      <c r="B16" s="1" t="s">
        <v>94</v>
      </c>
      <c r="C16" s="1">
        <v>8.3145000000000007</v>
      </c>
      <c r="D16" s="1"/>
      <c r="E16" s="1"/>
      <c r="F16" s="1"/>
      <c r="G16" s="1"/>
    </row>
    <row r="17" spans="1:8" ht="13.2" x14ac:dyDescent="0.15">
      <c r="A17" s="1" t="s">
        <v>104</v>
      </c>
      <c r="B17" s="1"/>
      <c r="C17" s="1">
        <f>-1*C15*1000/C16/C4</f>
        <v>-1.6622291660023427</v>
      </c>
      <c r="D17" s="1"/>
      <c r="E17" s="1"/>
      <c r="F17" s="1"/>
      <c r="G17" s="1"/>
      <c r="H17" t="s">
        <v>116</v>
      </c>
    </row>
    <row r="18" spans="1:8" ht="13.2" x14ac:dyDescent="0.15">
      <c r="A18" s="1" t="s">
        <v>105</v>
      </c>
      <c r="B18" s="1"/>
      <c r="C18" s="1">
        <f>EXP(C17)</f>
        <v>0.18971560081803121</v>
      </c>
      <c r="D18" s="1"/>
      <c r="E18" s="1"/>
      <c r="F18" s="1"/>
      <c r="G18" s="9" t="s">
        <v>117</v>
      </c>
      <c r="H18">
        <v>0.20469999999999999</v>
      </c>
    </row>
    <row r="20" spans="1:8" ht="13.2" x14ac:dyDescent="0.15">
      <c r="A20" s="1" t="s">
        <v>15</v>
      </c>
      <c r="B20" s="1"/>
      <c r="C20" s="1"/>
      <c r="D20" s="1"/>
      <c r="E20" s="1"/>
      <c r="F20" s="1"/>
      <c r="G20" s="2"/>
    </row>
    <row r="21" spans="1:8" ht="13.8" thickBot="1" x14ac:dyDescent="0.2">
      <c r="A21" s="1" t="s">
        <v>27</v>
      </c>
      <c r="B21" s="1" t="s">
        <v>28</v>
      </c>
      <c r="C21" s="1"/>
      <c r="D21" s="1">
        <v>1</v>
      </c>
      <c r="E21" s="1">
        <v>0</v>
      </c>
      <c r="F21" s="1">
        <v>0</v>
      </c>
      <c r="G21" s="2"/>
      <c r="H21" t="s">
        <v>116</v>
      </c>
    </row>
    <row r="22" spans="1:8" ht="13.8" thickBot="1" x14ac:dyDescent="0.2">
      <c r="A22" s="1" t="s">
        <v>29</v>
      </c>
      <c r="B22" s="1"/>
      <c r="C22" s="5">
        <v>0.39948077151036959</v>
      </c>
      <c r="D22" s="1"/>
      <c r="E22" s="1"/>
      <c r="F22" s="1"/>
      <c r="G22" s="8" t="s">
        <v>118</v>
      </c>
      <c r="H22">
        <v>0.41220000000000001</v>
      </c>
    </row>
    <row r="23" spans="1:8" ht="13.2" x14ac:dyDescent="0.15">
      <c r="A23" s="1" t="s">
        <v>59</v>
      </c>
      <c r="B23" s="1" t="s">
        <v>28</v>
      </c>
      <c r="C23" s="1">
        <f>SUM(D23:G23)</f>
        <v>1.3994807715103696</v>
      </c>
      <c r="D23" s="1">
        <f>D21*(1-C22)</f>
        <v>0.60051922848963035</v>
      </c>
      <c r="E23" s="1">
        <f>C22*D21</f>
        <v>0.39948077151036959</v>
      </c>
      <c r="F23" s="1">
        <f>C22*D21</f>
        <v>0.39948077151036959</v>
      </c>
      <c r="G23" s="1"/>
    </row>
    <row r="24" spans="1:8" ht="13.8" thickBot="1" x14ac:dyDescent="0.2">
      <c r="A24" s="1" t="s">
        <v>30</v>
      </c>
      <c r="B24" s="1"/>
      <c r="C24" s="1"/>
      <c r="D24" s="1">
        <f>D23/$C$23</f>
        <v>0.42910145013391543</v>
      </c>
      <c r="E24" s="1">
        <f>E23/$C$23</f>
        <v>0.28544927493304223</v>
      </c>
      <c r="F24" s="1">
        <f>F23/$C$23</f>
        <v>0.28544927493304223</v>
      </c>
      <c r="G24" s="1"/>
    </row>
    <row r="25" spans="1:8" ht="13.8" thickBot="1" x14ac:dyDescent="0.2">
      <c r="A25" s="1" t="s">
        <v>56</v>
      </c>
      <c r="B25" s="1" t="s">
        <v>106</v>
      </c>
      <c r="C25" s="5">
        <v>0.1</v>
      </c>
      <c r="D25" s="1"/>
      <c r="E25" s="1"/>
      <c r="F25" s="1"/>
      <c r="G25" s="2"/>
    </row>
    <row r="26" spans="1:8" ht="13.2" x14ac:dyDescent="0.15">
      <c r="A26" s="1" t="s">
        <v>32</v>
      </c>
      <c r="B26" s="1" t="s">
        <v>106</v>
      </c>
      <c r="C26" s="1"/>
      <c r="D26" s="1">
        <f>$C$25*D24</f>
        <v>4.2910145013391549E-2</v>
      </c>
      <c r="E26" s="1">
        <f>$C$25*E24</f>
        <v>2.8544927493304225E-2</v>
      </c>
      <c r="F26" s="1">
        <f>$C$25*F24</f>
        <v>2.8544927493304225E-2</v>
      </c>
      <c r="G26" s="1"/>
    </row>
    <row r="27" spans="1:8" ht="13.2" x14ac:dyDescent="0.15">
      <c r="A27" s="1" t="s">
        <v>57</v>
      </c>
      <c r="B27" s="1" t="s">
        <v>107</v>
      </c>
      <c r="C27" s="1">
        <v>0.1</v>
      </c>
      <c r="D27" s="1"/>
      <c r="E27" s="1"/>
      <c r="F27" s="1"/>
      <c r="G27" s="2"/>
    </row>
    <row r="28" spans="1:8" ht="13.2" x14ac:dyDescent="0.15">
      <c r="A28" s="1" t="s">
        <v>33</v>
      </c>
      <c r="B28" s="1"/>
      <c r="C28" s="1">
        <f>(F26/C27)^(F2)*(D26/C27)^D2*(E26/C27)^E2/C18-1</f>
        <v>9.0961364467334604E-4</v>
      </c>
      <c r="D28" s="1"/>
      <c r="E28" s="1"/>
      <c r="F28" s="1"/>
      <c r="G28" s="2"/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例題6平衡定数アンモニア</vt:lpstr>
      <vt:lpstr>メタン水蒸気改質平衡定数</vt:lpstr>
      <vt:lpstr>メタノール合成反応平衡定数</vt:lpstr>
      <vt:lpstr>平衡定数水分解</vt:lpstr>
      <vt:lpstr>平衡定数プロパン分解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aito</dc:creator>
  <cp:lastModifiedBy>itolab200</cp:lastModifiedBy>
  <cp:lastPrinted>2017-02-17T00:36:41Z</cp:lastPrinted>
  <dcterms:created xsi:type="dcterms:W3CDTF">2004-01-25T12:50:10Z</dcterms:created>
  <dcterms:modified xsi:type="dcterms:W3CDTF">2018-09-22T06:43:07Z</dcterms:modified>
</cp:coreProperties>
</file>